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Dz03qhUCYBPPsUUP8joSFNh/6x5ZFhJgW4jW5ozHXdbZo/3I+m3qTLxYZvw3dYHCRV4nlDks7pl1BkvVu8czQ==" workbookSaltValue="Lr8VNAgnoWUpnzfJt33g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T21" i="21"/>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J21" i="27"/>
  <c r="K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K18" i="12"/>
  <c r="I18" i="12"/>
  <c r="BM20" i="26"/>
  <c r="I10" i="12"/>
  <c r="BL21" i="26"/>
  <c r="V10" i="11"/>
  <c r="U11" i="17"/>
  <c r="X10" i="16"/>
  <c r="X18" i="16"/>
  <c r="V18" i="20"/>
  <c r="BH17" i="16"/>
  <c r="X19" i="17"/>
  <c r="U12" i="17"/>
  <c r="AP19" i="20"/>
  <c r="X11" i="17"/>
  <c r="X15" i="16"/>
  <c r="X19" i="16" s="1"/>
  <c r="BM17" i="11"/>
  <c r="S18" i="16"/>
  <c r="BE19" i="13"/>
  <c r="BF19" i="13"/>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<sst xmlns="http://schemas.openxmlformats.org/spreadsheetml/2006/main" count="2527" uniqueCount="1026">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</sst>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3PyhiMNm3NO9ii2xK1iDgK1pHqopBzIPZ3rc3HZI6u8EFcQ28BbsI5AwXCP0vJKNkYeo5sX+4+Ua8srssHP4A==" saltValue="8DNgy2NmfSyhrr+6RM0YK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19.766719745222929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1320</v>
      </c>
      <c r="D17" s="224">
        <f>IF(ISNUMBER(IF(D_I="SI",Datos!I17,Datos!I17+Datos!AC17)),IF(D_I="SI",Datos!I17,Datos!I17+Datos!AC17)," - ")</f>
        <v>1320</v>
      </c>
      <c r="E17" s="225">
        <f>IF(ISNUMBER(IF(D_I="SI",Datos!J17,Datos!J17+Datos!AD17)),IF(D_I="SI",Datos!J17,Datos!J17+Datos!AD17)," - ")</f>
        <v>969</v>
      </c>
      <c r="F17" s="225">
        <f>IF(ISNUMBER(IF(D_I="SI",Datos!K17,Datos!K17+Datos!AE17)),IF(D_I="SI",Datos!K17,Datos!K17+Datos!AE17)," - ")</f>
        <v>892</v>
      </c>
      <c r="G17" s="1029" t="str">
        <f>IF(Datos!E17&lt;&gt;"",Datos!E17,Datos!D17)</f>
        <v>04</v>
      </c>
      <c r="H17" s="226">
        <f>IF(ISNUMBER(IF(D_I="SI",Datos!L17,Datos!L17+Datos!AF17)),IF(D_I="SI",Datos!L17,Datos!L17+Datos!AF17)," - ")</f>
        <v>1397</v>
      </c>
      <c r="I17" s="1039" t="str">
        <f>IF(ISNUMBER(Datos!AS17/Datos!BM17),Datos!AS17/Datos!BM17," - ")</f>
        <v xml:space="preserve"> - </v>
      </c>
      <c r="J17" s="1040">
        <f>IF(ISNUMBER(Datos!BY17/Datos!CN17),Datos!BY17/Datos!CN17," - ")</f>
        <v>0</v>
      </c>
      <c r="K17" s="229">
        <f t="shared" si="3"/>
        <v>5.8333333333333334E-2</v>
      </c>
      <c r="L17" s="1020">
        <f>IF(ISNUMBER(NºAsuntos!I17/NºAsuntos!G17),(NºAsuntos!I17/NºAsuntos!G17)*11," - ")</f>
        <v>17.227578475336323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v>
      </c>
      <c r="D18" s="224">
        <f>IF(ISNUMBER(IF(D_I="SI",Datos!I18,Datos!I18+Datos!AC18)),IF(D_I="SI",Datos!I18,Datos!I18+Datos!AC18)," - ")</f>
        <v>1</v>
      </c>
      <c r="E18" s="225">
        <f>IF(ISNUMBER(IF(D_I="SI",Datos!J18,Datos!J18+Datos!AD18)),IF(D_I="SI",Datos!J18,Datos!J18+Datos!AD18)," - ")</f>
        <v>0</v>
      </c>
      <c r="F18" s="225">
        <f>IF(ISNUMBER(IF(D_I="SI",Datos!K18,Datos!K18+Datos!AE18)),IF(D_I="SI",Datos!K18,Datos!K18+Datos!AE18)," - ")</f>
        <v>1</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1321</v>
      </c>
      <c r="D19" s="1044">
        <f>SUBTOTAL(9,D15:D18)</f>
        <v>1321</v>
      </c>
      <c r="E19" s="1045">
        <f>SUBTOTAL(9,E15:E18)</f>
        <v>969</v>
      </c>
      <c r="F19" s="1045">
        <f>SUBTOTAL(9,F15:F18)</f>
        <v>893</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1323</v>
      </c>
      <c r="D20" s="1066">
        <f>SUBTOTAL(9,D9:D19)</f>
        <v>1323</v>
      </c>
      <c r="E20" s="1067">
        <f>SUBTOTAL(9,E9:E19)</f>
        <v>969</v>
      </c>
      <c r="F20" s="1067">
        <f>SUBTOTAL(9,F9:F19)</f>
        <v>893</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UvRa52ZCsWguYYLSSybgMJAwGgOSgcN3fCm2IhscMEvQ+aB+BnkrBLgzn+CqZ4vifvrQDB+O7eJLGFAdk21zw==" saltValue="2v6yd4clB2upmYezw6q+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DS+lK8WZWtdI7ED4nX9V7aE/5V903COTR8nQnXbC2jymaM6h809K6EJgcN7SiXmTuT/EyePfIc6XC9Chuj0fg==" saltValue="7F8PCXyiodeg122tdstL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2</v>
      </c>
      <c r="M10" s="180">
        <v>0</v>
      </c>
      <c r="N10" s="180">
        <v>0</v>
      </c>
      <c r="O10" s="180">
        <v>0</v>
      </c>
      <c r="P10" s="180">
        <v>0</v>
      </c>
      <c r="Q10" s="180">
        <v>0</v>
      </c>
      <c r="R10" s="180">
        <v>4</v>
      </c>
      <c r="S10" s="180">
        <v>12</v>
      </c>
      <c r="T10" s="180">
        <v>0</v>
      </c>
      <c r="U10" s="180">
        <v>6</v>
      </c>
      <c r="V10" s="180">
        <v>6</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v>
      </c>
      <c r="AZ10" s="129">
        <f t="shared" si="0"/>
        <v>0</v>
      </c>
      <c r="BA10" s="129">
        <f t="shared" si="0"/>
        <v>6</v>
      </c>
      <c r="BB10" s="129">
        <f t="shared" si="0"/>
        <v>6</v>
      </c>
      <c r="BC10" s="125">
        <f t="shared" si="0"/>
        <v>6</v>
      </c>
      <c r="BD10" s="126" t="str">
        <f>IF(ISNUMBER(BA10/AZ10),BA10/AZ10," - ")</f>
        <v xml:space="preserve"> - </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2194</v>
      </c>
      <c r="J12" s="182">
        <v>1169</v>
      </c>
      <c r="K12" s="182">
        <v>1172</v>
      </c>
      <c r="L12" s="182">
        <v>2191</v>
      </c>
      <c r="M12" s="182">
        <v>406</v>
      </c>
      <c r="N12" s="182">
        <v>545</v>
      </c>
      <c r="O12" s="180">
        <v>460</v>
      </c>
      <c r="P12" s="182">
        <v>192</v>
      </c>
      <c r="Q12" s="182">
        <v>169</v>
      </c>
      <c r="R12" s="182">
        <v>4751</v>
      </c>
      <c r="S12" s="182">
        <v>2329</v>
      </c>
      <c r="T12" s="182">
        <v>2114</v>
      </c>
      <c r="U12" s="182">
        <v>1267</v>
      </c>
      <c r="V12" s="182">
        <v>3176</v>
      </c>
      <c r="W12" s="182">
        <v>314</v>
      </c>
      <c r="X12" s="188">
        <v>564</v>
      </c>
      <c r="Y12" s="190">
        <v>79</v>
      </c>
      <c r="Z12" s="180">
        <v>71</v>
      </c>
      <c r="AA12" s="180">
        <v>84</v>
      </c>
      <c r="AB12" s="180">
        <v>66</v>
      </c>
      <c r="AC12" s="182">
        <v>0</v>
      </c>
      <c r="AD12" s="182">
        <v>0</v>
      </c>
      <c r="AE12" s="182">
        <v>0</v>
      </c>
      <c r="AF12" s="188">
        <v>0</v>
      </c>
      <c r="AG12" s="201">
        <v>83</v>
      </c>
      <c r="AH12" s="182">
        <v>60</v>
      </c>
      <c r="AI12" s="182">
        <v>56</v>
      </c>
      <c r="AJ12" s="202">
        <v>87</v>
      </c>
      <c r="AK12" s="181">
        <v>0</v>
      </c>
      <c r="AL12" s="182">
        <v>0</v>
      </c>
      <c r="AM12" s="182">
        <v>0</v>
      </c>
      <c r="AN12" s="188">
        <v>0</v>
      </c>
      <c r="AO12" s="258">
        <v>4</v>
      </c>
      <c r="AP12" s="154">
        <v>4</v>
      </c>
      <c r="AQ12" s="154">
        <v>4</v>
      </c>
      <c r="AR12" s="153">
        <v>4</v>
      </c>
      <c r="AS12" s="339" t="s">
        <v>766</v>
      </c>
      <c r="AT12" s="202"/>
      <c r="AU12" s="201"/>
      <c r="AV12" s="202"/>
      <c r="AW12" s="201"/>
      <c r="AX12" s="202"/>
      <c r="AY12" s="126">
        <f t="shared" si="1"/>
        <v>2412</v>
      </c>
      <c r="AZ12" s="127">
        <f t="shared" si="1"/>
        <v>2174</v>
      </c>
      <c r="BA12" s="127">
        <f t="shared" si="1"/>
        <v>1323</v>
      </c>
      <c r="BB12" s="127">
        <f t="shared" si="1"/>
        <v>3263</v>
      </c>
      <c r="BC12" s="125">
        <f>IF(ISNUMBER(X12),X12," - ")</f>
        <v>564</v>
      </c>
      <c r="BD12" s="126">
        <f t="shared" si="2"/>
        <v>0.60855565777368903</v>
      </c>
      <c r="BE12" s="127">
        <f t="shared" si="3"/>
        <v>2.4663643235071806</v>
      </c>
      <c r="BF12" s="127">
        <f t="shared" si="4"/>
        <v>0.42630385487528344</v>
      </c>
      <c r="BG12" s="195">
        <f t="shared" si="5"/>
        <v>3.4663643235071806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2196</v>
      </c>
      <c r="J13" s="183">
        <f t="shared" si="6"/>
        <v>1169</v>
      </c>
      <c r="K13" s="183">
        <f t="shared" si="6"/>
        <v>1172</v>
      </c>
      <c r="L13" s="183">
        <f t="shared" si="6"/>
        <v>2193</v>
      </c>
      <c r="M13" s="183">
        <f t="shared" si="6"/>
        <v>406</v>
      </c>
      <c r="N13" s="183">
        <f t="shared" si="6"/>
        <v>545</v>
      </c>
      <c r="O13" s="183">
        <f t="shared" si="6"/>
        <v>460</v>
      </c>
      <c r="P13" s="183">
        <f t="shared" si="6"/>
        <v>192</v>
      </c>
      <c r="Q13" s="183">
        <f t="shared" si="6"/>
        <v>169</v>
      </c>
      <c r="R13" s="183">
        <f t="shared" si="6"/>
        <v>4755</v>
      </c>
      <c r="S13" s="183">
        <f t="shared" si="6"/>
        <v>2341</v>
      </c>
      <c r="T13" s="183">
        <f t="shared" si="6"/>
        <v>2114</v>
      </c>
      <c r="U13" s="183">
        <f t="shared" si="6"/>
        <v>1273</v>
      </c>
      <c r="V13" s="183">
        <f t="shared" si="6"/>
        <v>3182</v>
      </c>
      <c r="W13" s="183">
        <f t="shared" si="6"/>
        <v>320</v>
      </c>
      <c r="X13" s="183">
        <f t="shared" si="6"/>
        <v>564</v>
      </c>
      <c r="Y13" s="183">
        <f t="shared" si="6"/>
        <v>79</v>
      </c>
      <c r="Z13" s="183">
        <f t="shared" si="6"/>
        <v>71</v>
      </c>
      <c r="AA13" s="183">
        <f t="shared" si="6"/>
        <v>84</v>
      </c>
      <c r="AB13" s="183">
        <f t="shared" si="6"/>
        <v>66</v>
      </c>
      <c r="AC13" s="183">
        <f t="shared" si="6"/>
        <v>0</v>
      </c>
      <c r="AD13" s="183">
        <f t="shared" si="6"/>
        <v>0</v>
      </c>
      <c r="AE13" s="183">
        <f t="shared" si="6"/>
        <v>0</v>
      </c>
      <c r="AF13" s="183">
        <f>SUBTOTAL(9,AF9:AF12)</f>
        <v>0</v>
      </c>
      <c r="AG13" s="183">
        <f t="shared" ref="AG13:AT13" si="7">SUBTOTAL(9,AG8:AG12)</f>
        <v>83</v>
      </c>
      <c r="AH13" s="183">
        <f t="shared" si="7"/>
        <v>60</v>
      </c>
      <c r="AI13" s="183">
        <f t="shared" si="7"/>
        <v>56</v>
      </c>
      <c r="AJ13" s="183">
        <f t="shared" si="7"/>
        <v>87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2424</v>
      </c>
      <c r="AZ13" s="183">
        <f>SUBTOTAL(9,AZ8:AZ12)</f>
        <v>2174</v>
      </c>
      <c r="BA13" s="183">
        <f>SUBTOTAL(9,BA8:BA12)</f>
        <v>1329</v>
      </c>
      <c r="BB13" s="183">
        <f>SUBTOTAL(9,BB8:BB12)</f>
        <v>3269</v>
      </c>
      <c r="BC13" s="183">
        <f>SUBTOTAL(9,BC8:BC12)</f>
        <v>570</v>
      </c>
      <c r="BD13" s="204">
        <f>IF(ISNUMBER(BA13/AZ13),BA13/AZ13," - ")</f>
        <v>0.6113155473781049</v>
      </c>
      <c r="BE13" s="205">
        <f>IF(ISNUMBER(BB13/BA13),BB13/BA13, " - ")</f>
        <v>2.4597441685477803</v>
      </c>
      <c r="BF13" s="205">
        <f>IF(ISNUMBER(BC13/BA13),BC13/BA13, " - ")</f>
        <v>0.42889390519187359</v>
      </c>
      <c r="BG13" s="206">
        <f>IF(ISNUMBER((AY13+AZ13)/BA13),(AY13+AZ13)/BA13," - ")</f>
        <v>3.4597441685477803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1320</v>
      </c>
      <c r="J17" s="182">
        <v>969</v>
      </c>
      <c r="K17" s="182">
        <v>892</v>
      </c>
      <c r="L17" s="182">
        <v>1397</v>
      </c>
      <c r="M17" s="182">
        <v>122</v>
      </c>
      <c r="N17" s="182">
        <v>572</v>
      </c>
      <c r="O17" s="180">
        <v>0</v>
      </c>
      <c r="P17" s="182">
        <v>29</v>
      </c>
      <c r="Q17" s="182">
        <v>10</v>
      </c>
      <c r="R17" s="182">
        <v>216</v>
      </c>
      <c r="S17" s="182">
        <v>765</v>
      </c>
      <c r="T17" s="182">
        <v>749</v>
      </c>
      <c r="U17" s="182">
        <v>734</v>
      </c>
      <c r="V17" s="182">
        <v>795</v>
      </c>
      <c r="W17" s="182">
        <v>132</v>
      </c>
      <c r="X17" s="188">
        <v>449</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4</v>
      </c>
      <c r="AP17" s="154">
        <v>4</v>
      </c>
      <c r="AQ17" s="154">
        <v>4</v>
      </c>
      <c r="AR17" s="154">
        <v>4</v>
      </c>
      <c r="AS17" s="339" t="s">
        <v>486</v>
      </c>
      <c r="AT17" s="202"/>
      <c r="AU17" s="201"/>
      <c r="AV17" s="202"/>
      <c r="AW17" s="201"/>
      <c r="AX17" s="202"/>
      <c r="AY17" s="126">
        <f t="shared" si="9"/>
        <v>765</v>
      </c>
      <c r="AZ17" s="127">
        <f t="shared" si="9"/>
        <v>749</v>
      </c>
      <c r="BA17" s="127">
        <f t="shared" si="9"/>
        <v>734</v>
      </c>
      <c r="BB17" s="127">
        <f t="shared" si="9"/>
        <v>795</v>
      </c>
      <c r="BC17" s="125">
        <f>IF(ISNUMBER(W17),W17," - ")</f>
        <v>132</v>
      </c>
      <c r="BD17" s="126">
        <f t="shared" ref="BD17" si="16">IF(ISNUMBER(BA17/AZ17),BA17/AZ17," - ")</f>
        <v>0.97997329773030706</v>
      </c>
      <c r="BE17" s="127">
        <f t="shared" ref="BE17" si="17">IF(ISNUMBER(BB17/BA17),BB17/BA17, " - ")</f>
        <v>1.0831062670299727</v>
      </c>
      <c r="BF17" s="127">
        <f t="shared" ref="BF17" si="18">IF(ISNUMBER(BC17/BA17),BC17/BA17, " - ")</f>
        <v>0.17983651226158037</v>
      </c>
      <c r="BG17" s="195">
        <f t="shared" si="10"/>
        <v>2.0626702997275204</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v>
      </c>
      <c r="J18" s="182">
        <v>0</v>
      </c>
      <c r="K18" s="182">
        <v>1</v>
      </c>
      <c r="L18" s="182">
        <v>0</v>
      </c>
      <c r="M18" s="182">
        <v>0</v>
      </c>
      <c r="N18" s="182">
        <v>0</v>
      </c>
      <c r="O18" s="182">
        <v>0</v>
      </c>
      <c r="P18" s="182">
        <v>0</v>
      </c>
      <c r="Q18" s="182">
        <v>0</v>
      </c>
      <c r="R18" s="182">
        <v>0</v>
      </c>
      <c r="S18" s="182">
        <v>10</v>
      </c>
      <c r="T18" s="182">
        <v>3</v>
      </c>
      <c r="U18" s="182">
        <v>9</v>
      </c>
      <c r="V18" s="182">
        <v>4</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v>
      </c>
      <c r="AZ18" s="129">
        <f t="shared" si="19"/>
        <v>3</v>
      </c>
      <c r="BA18" s="129">
        <f t="shared" si="19"/>
        <v>9</v>
      </c>
      <c r="BB18" s="129">
        <f t="shared" si="19"/>
        <v>4</v>
      </c>
      <c r="BC18" s="125">
        <f>IF(ISNUMBER(W18),W18," - ")</f>
        <v>0</v>
      </c>
      <c r="BD18" s="126">
        <f>IF(ISNUMBER(BA18/AZ18),BA18/AZ18," - ")</f>
        <v>3</v>
      </c>
      <c r="BE18" s="127">
        <f>IF(ISNUMBER(BB18/BA18),BB18/BA18, " - ")</f>
        <v>0.44444444444444442</v>
      </c>
      <c r="BF18" s="127">
        <f>IF(ISNUMBER(BC18/BA18),BC18/BA18, " - ")</f>
        <v>0</v>
      </c>
      <c r="BG18" s="195">
        <f>IF(ISNUMBER((AY18+AZ18)/BA18),(AY18+AZ18)/BA18," - ")</f>
        <v>1.4444444444444444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1321</v>
      </c>
      <c r="J19" s="183">
        <f t="shared" si="20"/>
        <v>969</v>
      </c>
      <c r="K19" s="183">
        <f t="shared" si="20"/>
        <v>893</v>
      </c>
      <c r="L19" s="183">
        <f t="shared" si="20"/>
        <v>1397</v>
      </c>
      <c r="M19" s="183">
        <f t="shared" si="20"/>
        <v>122</v>
      </c>
      <c r="N19" s="183">
        <f t="shared" si="20"/>
        <v>572</v>
      </c>
      <c r="O19" s="183">
        <f t="shared" si="20"/>
        <v>0</v>
      </c>
      <c r="P19" s="183">
        <f t="shared" si="20"/>
        <v>29</v>
      </c>
      <c r="Q19" s="183">
        <f t="shared" si="20"/>
        <v>10</v>
      </c>
      <c r="R19" s="183">
        <f t="shared" si="20"/>
        <v>216</v>
      </c>
      <c r="S19" s="183">
        <f t="shared" si="20"/>
        <v>775</v>
      </c>
      <c r="T19" s="183">
        <f t="shared" si="20"/>
        <v>752</v>
      </c>
      <c r="U19" s="183">
        <f t="shared" si="20"/>
        <v>743</v>
      </c>
      <c r="V19" s="183">
        <f t="shared" si="20"/>
        <v>799</v>
      </c>
      <c r="W19" s="183">
        <f t="shared" si="20"/>
        <v>132</v>
      </c>
      <c r="X19" s="183">
        <f t="shared" si="20"/>
        <v>449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775</v>
      </c>
      <c r="AZ19" s="183">
        <f>SUBTOTAL(9,AZ14:AZ18)</f>
        <v>752</v>
      </c>
      <c r="BA19" s="183">
        <f>SUBTOTAL(9,BA14:BA18)</f>
        <v>743</v>
      </c>
      <c r="BB19" s="183">
        <f>SUBTOTAL(9,BB14:BB18)</f>
        <v>799</v>
      </c>
      <c r="BC19" s="183">
        <f>SUBTOTAL(9,BC14:BC18)</f>
        <v>132</v>
      </c>
      <c r="BD19" s="204">
        <f>IF(ISNUMBER(BA19/AZ19),BA19/AZ19," - ")</f>
        <v>0.98803191489361697</v>
      </c>
      <c r="BE19" s="205">
        <f>IF(ISNUMBER(BB19/BA19),BB19/BA19, " - ")</f>
        <v>1.0753701211305517</v>
      </c>
      <c r="BF19" s="205">
        <f>IF(ISNUMBER(BC19/BA19),BC19/BA19, " - ")</f>
        <v>0.17765814266487215</v>
      </c>
      <c r="BG19" s="206">
        <f>IF(ISNUMBER((AY19+AZ19)/BA19),(AY19+AZ19)/BA19," - ")</f>
        <v>2.0551816958277254</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3517</v>
      </c>
      <c r="J20" s="134">
        <f t="shared" si="23"/>
        <v>2138</v>
      </c>
      <c r="K20" s="134">
        <f t="shared" si="23"/>
        <v>2065</v>
      </c>
      <c r="L20" s="134">
        <f t="shared" si="23"/>
        <v>3590</v>
      </c>
      <c r="M20" s="134">
        <f t="shared" si="23"/>
        <v>528</v>
      </c>
      <c r="N20" s="134">
        <f t="shared" si="23"/>
        <v>1117</v>
      </c>
      <c r="O20" s="134">
        <f t="shared" si="23"/>
        <v>460</v>
      </c>
      <c r="P20" s="134">
        <f t="shared" si="23"/>
        <v>221</v>
      </c>
      <c r="Q20" s="134">
        <f t="shared" si="23"/>
        <v>179</v>
      </c>
      <c r="R20" s="134">
        <f t="shared" si="23"/>
        <v>4971</v>
      </c>
      <c r="S20" s="134">
        <f t="shared" si="23"/>
        <v>3116</v>
      </c>
      <c r="T20" s="134">
        <f t="shared" si="23"/>
        <v>2866</v>
      </c>
      <c r="U20" s="134">
        <f t="shared" si="23"/>
        <v>2016</v>
      </c>
      <c r="V20" s="134">
        <f t="shared" si="23"/>
        <v>3981</v>
      </c>
      <c r="W20" s="134">
        <f t="shared" si="23"/>
        <v>452</v>
      </c>
      <c r="X20" s="134">
        <f t="shared" si="23"/>
        <v>1013</v>
      </c>
      <c r="Y20" s="134">
        <f t="shared" si="23"/>
        <v>79</v>
      </c>
      <c r="Z20" s="134">
        <f t="shared" si="23"/>
        <v>71</v>
      </c>
      <c r="AA20" s="134">
        <f t="shared" si="23"/>
        <v>84</v>
      </c>
      <c r="AB20" s="134">
        <f t="shared" si="23"/>
        <v>66</v>
      </c>
      <c r="AC20" s="134">
        <f t="shared" si="23"/>
        <v>0</v>
      </c>
      <c r="AD20" s="134">
        <f t="shared" si="23"/>
        <v>0</v>
      </c>
      <c r="AE20" s="134">
        <f t="shared" si="23"/>
        <v>0</v>
      </c>
      <c r="AF20" s="134">
        <f t="shared" si="23"/>
        <v>0</v>
      </c>
      <c r="AG20" s="134">
        <f t="shared" si="23"/>
        <v>83</v>
      </c>
      <c r="AH20" s="134">
        <f t="shared" si="23"/>
        <v>60</v>
      </c>
      <c r="AI20" s="134">
        <f t="shared" si="23"/>
        <v>56</v>
      </c>
      <c r="AJ20" s="134">
        <f t="shared" si="23"/>
        <v>87</v>
      </c>
      <c r="AK20" s="134">
        <f t="shared" si="23"/>
        <v>0</v>
      </c>
      <c r="AL20" s="134">
        <f t="shared" si="23"/>
        <v>1</v>
      </c>
      <c r="AM20" s="134">
        <f t="shared" si="23"/>
        <v>1</v>
      </c>
      <c r="AN20" s="209">
        <f t="shared" si="23"/>
        <v>0</v>
      </c>
      <c r="AO20" s="210">
        <v>5</v>
      </c>
      <c r="AP20" s="210">
        <v>4</v>
      </c>
      <c r="AQ20" s="210">
        <v>4</v>
      </c>
      <c r="AR20" s="210">
        <v>4</v>
      </c>
      <c r="AS20" s="152">
        <f t="shared" si="23"/>
        <v>0</v>
      </c>
      <c r="AT20" s="152">
        <f t="shared" si="23"/>
        <v>0</v>
      </c>
      <c r="AU20" s="210"/>
      <c r="AV20" s="211"/>
      <c r="AW20" s="210"/>
      <c r="AX20" s="211"/>
      <c r="AY20" s="133">
        <f>SUBTOTAL(9,AY9:AY19)</f>
        <v>3199</v>
      </c>
      <c r="AZ20" s="134">
        <f>SUBTOTAL(9,AZ9:AZ19)</f>
        <v>2926</v>
      </c>
      <c r="BA20" s="134">
        <f>SUBTOTAL(9,BA9:BA19)</f>
        <v>2072</v>
      </c>
      <c r="BB20" s="134">
        <f>SUBTOTAL(9,BB9:BB19)</f>
        <v>4068</v>
      </c>
      <c r="BC20" s="135">
        <f>SUBTOTAL(9,BC9:BC19)</f>
        <v>702</v>
      </c>
      <c r="BD20" s="212">
        <f>IF(ISNUMBER(BA20/AZ20),BA20/AZ20," - ")</f>
        <v>0.70813397129186606</v>
      </c>
      <c r="BE20" s="209">
        <f>IF(ISNUMBER(BB20/BA20),BB20/BA20, " - ")</f>
        <v>1.9633204633204633</v>
      </c>
      <c r="BF20" s="209">
        <f>IF(ISNUMBER(BC20/BA20),BC20/BA20, " - ")</f>
        <v>0.33880308880308879</v>
      </c>
      <c r="BG20" s="135">
        <f>IF(ISNUMBER((AY20+AZ20)/BA20),(AY20+AZ20)/BA20," - ")</f>
        <v>2.9560810810810811</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b/IW37oS03fuw1HwPPJfCPW2qHLsjqPFs62QynFe9fvQjSpmqvmYnwut5OIQlhhGe9P5ZRQomFYfVtyp1KnZg==" saltValue="sWtP0iRSx2267Sc/QI7ZS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FVx5/xdG3L6Sbysqa3z0/5xQJdxwpi377M7ZKDIvdOa2YSEotGm9q6v/wTfJB82JZ05fWvF6c3lzQ8FFQm6Pw==" saltValue="Y50VO2a9afDJ4cGljGqV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MISLATA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71</v>
      </c>
      <c r="O12" s="1247"/>
      <c r="P12" s="1247"/>
      <c r="Q12" s="1215">
        <f>IF(ISNUMBER(Datos!P12),Datos!P12,0)</f>
        <v>192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66</v>
      </c>
      <c r="AI12" s="1247" t="str">
        <f>IF(ISNUMBER(Datos!CD12),Datos!CD12,"-")</f>
        <v>-</v>
      </c>
      <c r="AJ12" s="1247" t="str">
        <f>IF(ISNUMBER(Datos!EN12),Datos!EN12," - ")</f>
        <v xml:space="preserve"> - </v>
      </c>
      <c r="AK12" s="1247"/>
      <c r="AL12" s="1258"/>
      <c r="AM12" s="1248">
        <f>IF(ISNUMBER(Datos!R12),Datos!R12," - ")</f>
        <v>4751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406</v>
      </c>
      <c r="BD12" s="1218">
        <f>IF(ISNUMBER(Datos!N12),Datos!N12," - ")</f>
        <v>545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1.0129032258064516</v>
      </c>
      <c r="BH12" s="1226">
        <f>IF(ISNUMBER(((IF(J_V="SI",Datos!L12/Datos!K12,(Datos!L12+Datos!AB12)/(Datos!K12+Datos!AA12)))*11)/factor_trimestre),((IF(J_V="SI",Datos!L12/Datos!K12,(Datos!L12+Datos!AB12)/(Datos!K12+Datos!AA12)))*11)/factor_trimestre," - ")</f>
        <v>5.390923566878981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4.8646362098138749E-3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71</v>
      </c>
      <c r="O13" s="1393">
        <f t="shared" si="0"/>
        <v>0</v>
      </c>
      <c r="P13" s="1393">
        <f t="shared" si="0"/>
        <v>0</v>
      </c>
      <c r="Q13" s="1392">
        <f t="shared" si="0"/>
        <v>192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169</v>
      </c>
      <c r="AD13" s="1392">
        <f t="shared" si="1"/>
        <v>0</v>
      </c>
      <c r="AE13" s="1392">
        <f t="shared" si="1"/>
        <v>0</v>
      </c>
      <c r="AF13" s="1392">
        <f t="shared" si="1"/>
        <v>2</v>
      </c>
      <c r="AG13" s="1392">
        <f t="shared" si="1"/>
        <v>0</v>
      </c>
      <c r="AH13" s="1392">
        <f t="shared" si="1"/>
        <v>66</v>
      </c>
      <c r="AI13" s="1392">
        <f t="shared" si="1"/>
        <v>0</v>
      </c>
      <c r="AJ13" s="1392">
        <f t="shared" si="1"/>
        <v>0</v>
      </c>
      <c r="AK13" s="1392">
        <f t="shared" si="1"/>
        <v>0</v>
      </c>
      <c r="AL13" s="1392">
        <f t="shared" si="1"/>
        <v>0</v>
      </c>
      <c r="AM13" s="1392">
        <f t="shared" si="1"/>
        <v>4755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406</v>
      </c>
      <c r="BD13" s="1392">
        <f t="shared" si="1"/>
        <v>545</v>
      </c>
      <c r="BE13" s="1392">
        <f t="shared" si="1"/>
        <v>0</v>
      </c>
      <c r="BF13" s="1392">
        <f t="shared" si="1"/>
        <v>0</v>
      </c>
      <c r="BG13" s="1392">
        <f>IF(ISNUMBER(Datos!K13/Datos!J13),Datos!K13/Datos!J13," - ")</f>
        <v>1.0025662959794697</v>
      </c>
      <c r="BH13" s="1396">
        <f>IF(ISNUMBER(((Datos!L13/Datos!K13)*11)/factor_trimestre),((Datos!L13/Datos!K13)*11)/factor_trimestre," - ")</f>
        <v>5.6134812286689417</v>
      </c>
      <c r="BI13" s="1392">
        <f>IF(ISNUMBER('Resol  Asuntos'!D13/NºAsuntos!G13),'Resol  Asuntos'!D13/NºAsuntos!G13," - ")</f>
        <v>0.32324840764331209</v>
      </c>
      <c r="BJ13" s="1392" t="str">
        <f>IF(ISNUMBER(Datos!CI13/Datos!CJ13),Datos!CI13/Datos!CJ13," - ")</f>
        <v xml:space="preserve"> - </v>
      </c>
      <c r="BK13" s="1392">
        <f>SUBTOTAL(9,BK8:BK12)</f>
        <v>0</v>
      </c>
      <c r="BL13" s="1392">
        <f>IF(ISNUMBER((I13-AB13+L13)/(F13)),(I13-AB13+L13)/(F13)," - ")</f>
        <v>0</v>
      </c>
      <c r="BM13" s="1397">
        <f>SUBTOTAL(9,BM9:BM12)</f>
        <v>4.8646362098138749E-3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1320</v>
      </c>
      <c r="G17" s="1335">
        <f>IF(ISNUMBER(IF(D_I="SI",Datos!I17,Datos!I17+Datos!AC17)),IF(D_I="SI",Datos!I17,Datos!I17+Datos!AC17)," - ")</f>
        <v>1320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892</v>
      </c>
      <c r="AC17" s="1215">
        <f>IF(ISNUMBER(Datos!Q17),Datos!Q17," - ")</f>
        <v>10</v>
      </c>
      <c r="AD17" s="1247"/>
      <c r="AE17" s="1262"/>
      <c r="AF17" s="1333">
        <f>IF(ISNUMBER(IF(D_I="SI",Datos!L17,Datos!L17+Datos!AF17)),IF(D_I="SI",Datos!L17,Datos!L17+Datos!AF17)," - ")</f>
        <v>1397</v>
      </c>
      <c r="AG17" s="1247"/>
      <c r="AH17" s="1247"/>
      <c r="AI17" s="1247"/>
      <c r="AJ17" s="1247"/>
      <c r="AK17" s="1247"/>
      <c r="AL17" s="1258"/>
      <c r="AM17" s="1248">
        <f>IF(ISNUMBER(Datos!R17),Datos!R17," - ")</f>
        <v>216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122</v>
      </c>
      <c r="BD17" s="1218">
        <f>IF(ISNUMBER(Datos!N17),Datos!N17," - ")</f>
        <v>572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0.92053663570691435</v>
      </c>
      <c r="BH17" s="1226">
        <f>IF(ISNUMBER(((IF(D_I="SI",Datos!L17/Datos!K17,(Datos!L17+Datos!AF17)/(Datos!K17+Datos!AE17)))*11)/factor_trimestre),((IF(D_I="SI",Datos!L17/Datos!K17,(Datos!L17+Datos!AF17)/(Datos!K17+Datos!AE17)))*11)/factor_trimestre," - ")</f>
        <v>4.698430493273543</v>
      </c>
      <c r="BI17" s="1223">
        <f>IF(ISNUMBER('Resol  Asuntos'!D17/NºAsuntos!G17),'Resol  Asuntos'!D17/NºAsuntos!G17," - ")</f>
        <v>0.1367713004484305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1320</v>
      </c>
      <c r="G19" s="1391">
        <f>SUBTOTAL(9,G15:G18)</f>
        <v>1321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893</v>
      </c>
      <c r="AC19" s="1392">
        <f t="shared" si="4"/>
        <v>10</v>
      </c>
      <c r="AD19" s="1392">
        <f t="shared" si="4"/>
        <v>0</v>
      </c>
      <c r="AE19" s="1392">
        <f t="shared" si="4"/>
        <v>0</v>
      </c>
      <c r="AF19" s="1392">
        <f t="shared" si="4"/>
        <v>1397</v>
      </c>
      <c r="AG19" s="1392">
        <f t="shared" si="4"/>
        <v>0</v>
      </c>
      <c r="AH19" s="1392">
        <f t="shared" si="4"/>
        <v>0</v>
      </c>
      <c r="AI19" s="1392">
        <f t="shared" si="4"/>
        <v>0</v>
      </c>
      <c r="AJ19" s="1392">
        <f t="shared" si="4"/>
        <v>0</v>
      </c>
      <c r="AK19" s="1392">
        <f t="shared" si="4"/>
        <v>0</v>
      </c>
      <c r="AL19" s="1392">
        <f t="shared" si="4"/>
        <v>0</v>
      </c>
      <c r="AM19" s="1392">
        <f t="shared" si="4"/>
        <v>216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122</v>
      </c>
      <c r="BD19" s="1392">
        <f t="shared" si="4"/>
        <v>572</v>
      </c>
      <c r="BE19" s="1392">
        <f t="shared" si="4"/>
        <v>0</v>
      </c>
      <c r="BF19" s="1392">
        <f t="shared" si="4"/>
        <v>0</v>
      </c>
      <c r="BG19" s="1392">
        <f>IF(ISNUMBER(Datos!K19/Datos!J19),Datos!K19/Datos!J19," - ")</f>
        <v>0.92156862745098034</v>
      </c>
      <c r="BH19" s="1396">
        <f>IF(ISNUMBER(((Datos!L19/Datos!K19)*11)/factor_trimestre),((Datos!L19/Datos!K19)*11)/factor_trimestre," - ")</f>
        <v>4.6931690929451291</v>
      </c>
      <c r="BI19" s="1392">
        <f>SUBTOTAL(9,BI15:BI18)</f>
        <v>0.1367713004484305</v>
      </c>
      <c r="BJ19" s="1392">
        <f>SUBTOTAL(9,BJ15:BJ18)</f>
        <v>0</v>
      </c>
      <c r="BK19" s="1392">
        <f>SUBTOTAL(9,BK15:BK18)</f>
        <v>0</v>
      </c>
      <c r="BL19" s="1392">
        <f>IF(ISNUMBER((I19-AB19+L19)/(F19)),(I19-AB19+L19)/(F19)," - ")</f>
        <v>-0.67651515151515151</v>
      </c>
      <c r="BM19" s="1398">
        <f>IF(ISNUMBER((Datos!P19-Datos!Q19)/(Datos!R19-Datos!P19+Datos!Q19)),(Datos!P19-Datos!Q19)/(Datos!R19-Datos!P19+Datos!Q19)," - ")</f>
        <v>9.6446700507614211E-2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1322</v>
      </c>
      <c r="G20" s="1367">
        <f t="shared" si="6"/>
        <v>1323</v>
      </c>
      <c r="H20" s="1369">
        <f t="shared" si="6"/>
        <v>0</v>
      </c>
      <c r="I20" s="1367">
        <f t="shared" si="6"/>
        <v>0</v>
      </c>
      <c r="J20" s="1369">
        <f t="shared" si="6"/>
        <v>0</v>
      </c>
      <c r="K20" s="1369">
        <f t="shared" si="6"/>
        <v>0</v>
      </c>
      <c r="L20" s="1386">
        <f t="shared" si="6"/>
        <v>0</v>
      </c>
      <c r="M20" s="1386">
        <f t="shared" si="6"/>
        <v>0</v>
      </c>
      <c r="N20" s="1386">
        <f t="shared" si="6"/>
        <v>71</v>
      </c>
      <c r="O20" s="1386">
        <f t="shared" si="6"/>
        <v>0</v>
      </c>
      <c r="P20" s="1386">
        <f t="shared" si="6"/>
        <v>0</v>
      </c>
      <c r="Q20" s="1369">
        <f t="shared" si="6"/>
        <v>221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893</v>
      </c>
      <c r="AC20" s="1368">
        <f t="shared" si="7"/>
        <v>179</v>
      </c>
      <c r="AD20" s="1368">
        <f t="shared" si="7"/>
        <v>0</v>
      </c>
      <c r="AE20" s="1368">
        <f t="shared" si="7"/>
        <v>0</v>
      </c>
      <c r="AF20" s="1371">
        <f t="shared" si="7"/>
        <v>1399</v>
      </c>
      <c r="AG20" s="1371">
        <f t="shared" si="7"/>
        <v>0</v>
      </c>
      <c r="AH20" s="1371">
        <f t="shared" si="7"/>
        <v>66</v>
      </c>
      <c r="AI20" s="1371">
        <f t="shared" si="7"/>
        <v>0</v>
      </c>
      <c r="AJ20" s="1368">
        <f t="shared" si="7"/>
        <v>0</v>
      </c>
      <c r="AK20" s="1371">
        <f t="shared" si="7"/>
        <v>0</v>
      </c>
      <c r="AL20" s="1371">
        <f t="shared" si="7"/>
        <v>0</v>
      </c>
      <c r="AM20" s="1371">
        <f t="shared" si="7"/>
        <v>4971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528</v>
      </c>
      <c r="BD20" s="1367">
        <f t="shared" si="7"/>
        <v>1117</v>
      </c>
      <c r="BE20" s="1367">
        <f t="shared" si="7"/>
        <v>0</v>
      </c>
      <c r="BF20" s="1373">
        <f t="shared" si="7"/>
        <v>0</v>
      </c>
      <c r="BG20" s="1404">
        <f>IF(ISNUMBER(Datos!K20/Datos!J20),Datos!K20/Datos!J20," - ")</f>
        <v>0.96585594013096354</v>
      </c>
      <c r="BH20" s="1404">
        <f>IF(ISNUMBER(((Datos!L20/Datos!K20)*11)/factor_trimestre),((Datos!L20/Datos!K20)*11)/factor_trimestre," - ")</f>
        <v>5.2154963680387416</v>
      </c>
      <c r="BI20" s="1362">
        <f>IF(ISNUMBER(Datos!J20/Datos!I20),Datos!J20/Datos!I20," - ")</f>
        <v>0.60790446403184528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-0.67549167927382758</v>
      </c>
      <c r="BM20" s="1387">
        <f>IF(ISNUMBER((Datos!P20-Datos!Q20+R20)/(Datos!R20-Datos!P20+Datos!Q20-R20)),(Datos!P20-Datos!Q20+R20)/(Datos!R20-Datos!P20+Datos!Q20-R20)," - ")</f>
        <v>8.5209981740718196E-3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529.20000000000005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760.94765479192677</v>
      </c>
      <c r="G22" s="1299">
        <f>IF(ISNUMBER(STDEV(G8:G19)),STDEV(G8:G19),"-")</f>
        <v>722.35496814239468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488.6601068227281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186.32444820795794</v>
      </c>
      <c r="BD22" s="1298"/>
      <c r="BE22" s="1298">
        <f>IF(ISNUMBER(STDEV(BE8:BE19)),STDEV(BE8:BE19),"-")</f>
        <v>0</v>
      </c>
      <c r="BF22" s="1303">
        <f>IF(ISNUMBER(STDEV(BF8:BF19)),STDEV(BF8:BF19),"-")</f>
        <v>0</v>
      </c>
      <c r="BG22" s="1360">
        <f>IF(ISNUMBER(STDEV(BG8:BG19)),STDEV(BG8:BG19),"-")</f>
        <v>5.0225325965476859E-2</v>
      </c>
      <c r="BH22" s="1361">
        <f>IF(ISNUMBER(STDEV(BH8:BH19)),STDEV(BH8:BH19),"-")</f>
        <v>2.317051720152111</v>
      </c>
      <c r="BI22" s="1224">
        <f>IF(ISNUMBER(STDEV(BI8:BI19)),STDEV(BI8:BI19),"-")</f>
        <v>0.13274340326113801</v>
      </c>
      <c r="BJ22" s="1219" t="str">
        <f>IF(ISNUMBER(BL22/BM22),BL22/BM22," - ")</f>
        <v xml:space="preserve"> - </v>
      </c>
      <c r="BK22" s="1320"/>
      <c r="BL22" s="1306">
        <f>IF(ISNUMBER(STDEV(BL8:BL19)),STDEV(BL8:BL19),"-")</f>
        <v>0.47836845121180832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iB/ZfpVavnl3d96zGlZtFEIjWe9QkdgrXyZXgZqn6upJ1Gi47NpJdIQqps5AU/OjTnSg5+texY6O/QJwBnYoQ==" saltValue="sV5m8WwTF4qbN9Zy1z7ly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MISLATA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4751</v>
      </c>
      <c r="AF12" s="228" t="str">
        <f>IF(ISNUMBER(Datos!BV12),Datos!BV12," - ")</f>
        <v xml:space="preserve"> - </v>
      </c>
      <c r="AG12" s="224" t="str">
        <f>IF(ISNUMBER(Datos!DV12),Datos!DV12," - ")</f>
        <v xml:space="preserve"> - </v>
      </c>
      <c r="AH12" s="297"/>
      <c r="AI12" s="226"/>
      <c r="AJ12" s="224">
        <f>IF(ISNUMBER(Datos!M12),Datos!M12," - ")</f>
        <v>406</v>
      </c>
      <c r="AK12" s="228">
        <f>IF(ISNUMBER(Datos!N12),Datos!N12," - ")</f>
        <v>545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5.390923566878981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4.8646362098138749E-3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192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169</v>
      </c>
      <c r="AA13" s="897">
        <f t="shared" si="2"/>
        <v>2</v>
      </c>
      <c r="AB13" s="897">
        <f t="shared" si="2"/>
        <v>0</v>
      </c>
      <c r="AC13" s="897">
        <f t="shared" si="2"/>
        <v>0</v>
      </c>
      <c r="AD13" s="897">
        <f t="shared" si="2"/>
        <v>0</v>
      </c>
      <c r="AE13" s="897">
        <f t="shared" si="2"/>
        <v>4755</v>
      </c>
      <c r="AF13" s="905">
        <f t="shared" si="2"/>
        <v>0</v>
      </c>
      <c r="AG13" s="905">
        <f t="shared" si="2"/>
        <v>0</v>
      </c>
      <c r="AH13" s="905">
        <f t="shared" si="2"/>
        <v>0</v>
      </c>
      <c r="AI13" s="905">
        <f t="shared" si="2"/>
        <v>0</v>
      </c>
      <c r="AJ13" s="905">
        <f t="shared" si="2"/>
        <v>406</v>
      </c>
      <c r="AK13" s="905">
        <f t="shared" si="2"/>
        <v>545</v>
      </c>
      <c r="AL13" s="905">
        <f t="shared" si="2"/>
        <v>0</v>
      </c>
      <c r="AM13" s="905">
        <f t="shared" si="2"/>
        <v>0</v>
      </c>
      <c r="AN13" s="905">
        <f t="shared" si="2"/>
        <v>0</v>
      </c>
      <c r="AO13" s="901">
        <f>IF(ISNUMBER(((NºAsuntos!I13/NºAsuntos!G13)*11)/factor_trimestre),((NºAsuntos!I13/NºAsuntos!G13)*11)/factor_trimestre," - ")</f>
        <v>5.3957006369426752</v>
      </c>
      <c r="AP13" s="907" t="str">
        <f>IF(ISNUMBER(Datos!CI13/Datos!CJ13),Datos!CI13/Datos!CJ13," - ")</f>
        <v xml:space="preserve"> - </v>
      </c>
      <c r="AQ13" s="923">
        <f t="shared" ref="AQ13:AV13" si="3">SUBTOTAL(9,AQ9:AQ12)</f>
        <v>0</v>
      </c>
      <c r="AR13" s="923">
        <f t="shared" si="3"/>
        <v>4.8646362098138749E-3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1320</v>
      </c>
      <c r="G17" s="224">
        <f>IF(ISNUMBER(IF(D_I="SI",Datos!I17,Datos!I17+Datos!AC17)),IF(D_I="SI",Datos!I17,Datos!I17+Datos!AC17)," - ")</f>
        <v>1320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892</v>
      </c>
      <c r="Z17" s="617">
        <f>IF(ISNUMBER(Datos!Q17),Datos!Q17," - ")</f>
        <v>10</v>
      </c>
      <c r="AA17" s="331">
        <f>IF(ISNUMBER(IF(D_I="SI",Datos!L17,Datos!L17+Datos!AF17)),IF(D_I="SI",Datos!L17,Datos!L17+Datos!AF17)," - ")</f>
        <v>1397</v>
      </c>
      <c r="AB17" s="333"/>
      <c r="AC17" s="333"/>
      <c r="AD17" s="483"/>
      <c r="AE17" s="483">
        <f>IF(ISNUMBER(Datos!R17),Datos!R17," - ")</f>
        <v>216</v>
      </c>
      <c r="AF17" s="228" t="str">
        <f>IF(ISNUMBER(Datos!BV17),Datos!BV17," - ")</f>
        <v xml:space="preserve"> - </v>
      </c>
      <c r="AG17" s="224"/>
      <c r="AH17" s="297"/>
      <c r="AI17" s="226"/>
      <c r="AJ17" s="224">
        <f>IF(ISNUMBER(Datos!M17),Datos!M17," - ")</f>
        <v>122</v>
      </c>
      <c r="AK17" s="228">
        <f>IF(ISNUMBER(Datos!N17),Datos!N17," - ")</f>
        <v>572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4.698430493273543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1320</v>
      </c>
      <c r="G19" s="895">
        <f>SUBTOTAL(9,G15:G18)</f>
        <v>1321</v>
      </c>
      <c r="H19" s="927">
        <f>SUBTOTAL(9,H15:H18)</f>
        <v>0</v>
      </c>
      <c r="I19" s="908">
        <f>SUBTOTAL(9,I15:I18)</f>
        <v>0</v>
      </c>
      <c r="J19" s="864">
        <f>SUBTOTAL(9,J14:J18)</f>
        <v>0</v>
      </c>
      <c r="K19" s="927">
        <f t="shared" ref="K19:S19" si="4">SUBTOTAL(9,K15:K18)</f>
        <v>0</v>
      </c>
      <c r="L19" s="927">
        <f t="shared" si="4"/>
        <v>0</v>
      </c>
      <c r="M19" s="927">
        <f t="shared" si="4"/>
        <v>0</v>
      </c>
      <c r="N19" s="927">
        <f t="shared" si="4"/>
        <v>29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893</v>
      </c>
      <c r="Z19" s="927">
        <f t="shared" si="5"/>
        <v>10</v>
      </c>
      <c r="AA19" s="927">
        <f t="shared" si="5"/>
        <v>1397</v>
      </c>
      <c r="AB19" s="927">
        <f t="shared" si="5"/>
        <v>0</v>
      </c>
      <c r="AC19" s="927">
        <f t="shared" si="5"/>
        <v>0</v>
      </c>
      <c r="AD19" s="927">
        <f t="shared" si="5"/>
        <v>0</v>
      </c>
      <c r="AE19" s="927">
        <f t="shared" si="5"/>
        <v>216</v>
      </c>
      <c r="AF19" s="927">
        <f t="shared" si="5"/>
        <v>0</v>
      </c>
      <c r="AG19" s="927">
        <f t="shared" si="5"/>
        <v>0</v>
      </c>
      <c r="AH19" s="927">
        <f t="shared" si="5"/>
        <v>0</v>
      </c>
      <c r="AI19" s="927">
        <f t="shared" si="5"/>
        <v>0</v>
      </c>
      <c r="AJ19" s="927">
        <f t="shared" si="5"/>
        <v>122</v>
      </c>
      <c r="AK19" s="927">
        <f t="shared" si="5"/>
        <v>572</v>
      </c>
      <c r="AL19" s="927">
        <f t="shared" si="5"/>
        <v>0</v>
      </c>
      <c r="AM19" s="927">
        <f t="shared" si="5"/>
        <v>0</v>
      </c>
      <c r="AN19" s="927">
        <f t="shared" si="5"/>
        <v>0</v>
      </c>
      <c r="AO19" s="929">
        <f>IF(ISNUMBER(((NºAsuntos!I19/NºAsuntos!G19)*11)/factor_trimestre),((NºAsuntos!I19/NºAsuntos!G19)*11)/factor_trimestre," - ")</f>
        <v>4.6931690929451291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1322</v>
      </c>
      <c r="G20" s="817">
        <f t="shared" si="7"/>
        <v>1323</v>
      </c>
      <c r="H20" s="818">
        <f t="shared" si="7"/>
        <v>0</v>
      </c>
      <c r="I20" s="817">
        <f t="shared" si="7"/>
        <v>0</v>
      </c>
      <c r="J20" s="819">
        <f t="shared" si="7"/>
        <v>0</v>
      </c>
      <c r="K20" s="817">
        <f t="shared" si="7"/>
        <v>0</v>
      </c>
      <c r="L20" s="820">
        <f t="shared" si="7"/>
        <v>0</v>
      </c>
      <c r="M20" s="817">
        <f t="shared" si="7"/>
        <v>0</v>
      </c>
      <c r="N20" s="818">
        <f t="shared" si="7"/>
        <v>221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893</v>
      </c>
      <c r="Z20" s="824">
        <f t="shared" si="8"/>
        <v>179</v>
      </c>
      <c r="AA20" s="825">
        <f t="shared" si="8"/>
        <v>1399</v>
      </c>
      <c r="AB20" s="825">
        <f t="shared" si="8"/>
        <v>0</v>
      </c>
      <c r="AC20" s="825">
        <f t="shared" si="8"/>
        <v>0</v>
      </c>
      <c r="AD20" s="826">
        <f t="shared" si="8"/>
        <v>0</v>
      </c>
      <c r="AE20" s="826">
        <f t="shared" si="8"/>
        <v>4971</v>
      </c>
      <c r="AF20" s="827">
        <f t="shared" si="8"/>
        <v>0</v>
      </c>
      <c r="AG20" s="828">
        <f t="shared" si="8"/>
        <v>0</v>
      </c>
      <c r="AH20" s="829">
        <f t="shared" si="8"/>
        <v>0</v>
      </c>
      <c r="AI20" s="827">
        <f t="shared" si="8"/>
        <v>0</v>
      </c>
      <c r="AJ20" s="817">
        <f t="shared" si="8"/>
        <v>528</v>
      </c>
      <c r="AK20" s="817">
        <f t="shared" si="8"/>
        <v>1117</v>
      </c>
      <c r="AL20" s="817">
        <f t="shared" si="8"/>
        <v>0</v>
      </c>
      <c r="AM20" s="830">
        <f t="shared" si="8"/>
        <v>0</v>
      </c>
      <c r="AN20" s="820">
        <f>IF(ISNUMBER(Datos!K20/Datos!J20),Datos!K20/Datos!J20," - ")</f>
        <v>0.96585594013096354</v>
      </c>
      <c r="AO20" s="820">
        <f>IF(ISNUMBER(FIND("06",Criterios!A8,1)),(IF(ISNUMBER(((Datos!R20/Datos!Q20)*11)/factor_trimestre),((Datos!R20/Datos!Q20)*11)/factor_trimestre," - ")),(IF(ISNUMBER(((Datos!L20/Datos!K20)*11)/factor_trimestre),((Datos!L20/Datos!K20)*11)/factor_trimestre," - ")))</f>
        <v>5.2154963680387416</v>
      </c>
      <c r="AP20" s="831" t="str">
        <f>IF(ISNUMBER(Datos!CI20/Datos!CJ20),Datos!CI20/Datos!CJ20," - ")</f>
        <v xml:space="preserve"> - </v>
      </c>
      <c r="AQ20" s="831">
        <f>IF(OR(ISNUMBER(FIND("01",Criterios!A8,1)),ISNUMBER(FIND("02",Criterios!A8,1)),ISNUMBER(FIND("03",Criterios!A8,1)),ISNUMBER(FIND("04",Criterios!A8,1))),(J20-Y20+K20)/(F20-K20),(I20-Y20+K20)/(F20-K20))</f>
        <v>-0.67549167927382758</v>
      </c>
      <c r="AR20" s="831">
        <f>IF(ISNUMBER((Datos!P20-Datos!Q20+O20)/(Datos!R20-Datos!P20+Datos!Q20-O20)),(Datos!P20-Datos!Q20+O20)/(Datos!R20-Datos!P20+Datos!Q20-O20)," - ")</f>
        <v>8.5209981740718196E-3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529.20000000000005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760.94765479192677</v>
      </c>
      <c r="G22" s="551">
        <f>IF(ISNUMBER(STDEV(G8:G19)),STDEV(G8:G19),"-")</f>
        <v>722.35496814239468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186.32444820795794</v>
      </c>
      <c r="AK22" s="251"/>
      <c r="AL22" s="251">
        <f>IF(ISNUMBER(STDEV(AL8:AL19)),STDEV(AL8:AL19),"-")</f>
        <v>0</v>
      </c>
      <c r="AM22" s="253">
        <f>IF(ISNUMBER(STDEV(AM8:AM19)),STDEV(AM8:AM19),"-")</f>
        <v>0</v>
      </c>
      <c r="AN22" s="538">
        <f>IF(ISNUMBER(STDEV(AN8:AN19)),STDEV(AN8:AN19),"-")</f>
        <v>0</v>
      </c>
      <c r="AO22" s="539">
        <f>IF(ISNUMBER(STDEV(AO8:AO19)),STDEV(AO8:AO19),"-")</f>
        <v>2.2827934881600096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Gtg/sBDzQLGxEzanwBNHdi9mcbTzYJElXKfmR5riLWoihg6tU98WJRv8yN+gboEv7gy96O/PDSmfprfnhbN5Q==" saltValue="PX+UY89QBGz+Uoqzh9Uv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QLCGd2dmGvYS6QlatKqtwjCVgZ5xRmUQ5VSKILkzjlWzCDA5yQ6aLUUc8mNnQaW6MYVeXaFcuEsJf7sTRr2ag==" saltValue="FFewFC0tfCA0CV3KtAhR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lPc7b8Tuq7pcIqwkkeyM9XFxqDXgk4DhQfiV+JNw52ApZtDMl6dhCO7D+uB3RmeYXuoYf1vLd1PmDkckpaoVA==" saltValue="cbCoVimf0goREOMv0yHM4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MISLATA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0.32324840764331209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0.22857114105233939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w3FlLQW/23it+mz/v3hyxQA5S00eqF+RGWSu5gyYMe3tyMINyHvKg9ZGMF6cWpJ6w6l/2lU6NXQW5m9qFjxbA==" saltValue="XUhPt0OtvFqqVWrnCB18v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TkslfFBQoeP+RN2c7kTnRs7VyA3SYY1GHLqbyXbHOdSifDBhHPU2cy5maMsae780dHPziq01iU7R2gC740eOw==" saltValue="sGbHxUfCZuwduyKwVR0d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MISLATA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2273</v>
      </c>
      <c r="D12" s="403">
        <f>IF(ISNUMBER(C12/Datos!BH12),C12/Datos!BH12," - ")</f>
        <v>568.25</v>
      </c>
      <c r="E12" s="402">
        <f>IF(ISNUMBER(IF(J_V="SI",Datos!J12,Datos!J12+Datos!Z12)),IF(J_V="SI",Datos!J12,Datos!J12+Datos!Z12)," - ")</f>
        <v>1240</v>
      </c>
      <c r="F12" s="403">
        <f>IF(ISNUMBER(E12/B12),E12/B12," - ")</f>
        <v>310</v>
      </c>
      <c r="G12" s="402">
        <f>IF(ISNUMBER(IF(J_V="SI",Datos!K12,Datos!K12+Datos!AA12)),IF(J_V="SI",Datos!K12,Datos!K12+Datos!AA12)," - ")</f>
        <v>1256</v>
      </c>
      <c r="H12" s="403">
        <f>IF(ISNUMBER(G12/B12),G12/B12," - ")</f>
        <v>314</v>
      </c>
      <c r="I12" s="402">
        <f>IF(ISNUMBER(IF(J_V="SI",Datos!L12,Datos!L12+Datos!AB12)),IF(J_V="SI",Datos!L12,Datos!L12+Datos!AB12)," - ")</f>
        <v>2257</v>
      </c>
      <c r="J12" s="403">
        <f>IF(ISNUMBER(I12/B12),I12/B12," - ")</f>
        <v>564.25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2275</v>
      </c>
      <c r="D13" s="847" t="str">
        <f>IF(ISNUMBER(C13/Datos!BI13),C13/Datos!BI13," - ")</f>
        <v xml:space="preserve"> - </v>
      </c>
      <c r="E13" s="846">
        <f>SUBTOTAL(9,E8:E12)</f>
        <v>1240</v>
      </c>
      <c r="F13" s="847">
        <f>IF(ISNUMBER(E13/B13),E13/B13," - ")</f>
        <v>310</v>
      </c>
      <c r="G13" s="846">
        <f>SUBTOTAL(9,G8:G12)</f>
        <v>1256</v>
      </c>
      <c r="H13" s="847">
        <f>IF(ISNUMBER(G13/B13),G13/B13," - ")</f>
        <v>314</v>
      </c>
      <c r="I13" s="846">
        <f>SUBTOTAL(9,I8:I12)</f>
        <v>2259</v>
      </c>
      <c r="J13" s="847">
        <f>IF(ISNUMBER(I13/B13),I13/B13," - ")</f>
        <v>564.75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1320</v>
      </c>
      <c r="D17" s="403">
        <f>IF(ISNUMBER(C17/Datos!BH17),C17/Datos!BH17," - ")</f>
        <v>330</v>
      </c>
      <c r="E17" s="402">
        <f>IF(ISNUMBER(IF(D_I="SI",Datos!J17,Datos!J17+Datos!AD17)),IF(D_I="SI",Datos!J17,Datos!J17+Datos!AD17)," - ")</f>
        <v>969</v>
      </c>
      <c r="F17" s="403">
        <f>IF(ISNUMBER(E17/B17),E17/B17," - ")</f>
        <v>242.25</v>
      </c>
      <c r="G17" s="402">
        <f>IF(ISNUMBER(IF(D_I="SI",Datos!K17,Datos!K17+Datos!AE17)),IF(D_I="SI",Datos!K17,Datos!K17+Datos!AE17)," - ")</f>
        <v>892</v>
      </c>
      <c r="H17" s="403">
        <f>IF(ISNUMBER(G17/B17),G17/B17," - ")</f>
        <v>223</v>
      </c>
      <c r="I17" s="402">
        <f>IF(ISNUMBER(IF(D_I="SI",Datos!L17,Datos!L17+Datos!AF17)),IF(D_I="SI",Datos!L17,Datos!L17+Datos!AF17)," - ")</f>
        <v>1397</v>
      </c>
      <c r="J17" s="403">
        <f>IF(ISNUMBER(I17/B17),I17/B17," - ")</f>
        <v>349.25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v>
      </c>
      <c r="D18" s="403">
        <f>IF(ISNUMBER(C18/Datos!BH18),C18/Datos!BH18," - ")</f>
        <v>1</v>
      </c>
      <c r="E18" s="402">
        <f>IF(ISNUMBER(IF(D_I="SI",Datos!J18,Datos!J18+Datos!AD18)),IF(D_I="SI",Datos!J18,Datos!J18+Datos!AD18)," - ")</f>
        <v>0</v>
      </c>
      <c r="F18" s="403">
        <f>IF(ISNUMBER(E18/B18),E18/B18," - ")</f>
        <v>0</v>
      </c>
      <c r="G18" s="402">
        <f>IF(ISNUMBER(IF(D_I="SI",Datos!K18,Datos!K18+Datos!AE18)),IF(D_I="SI",Datos!K18,Datos!K18+Datos!AE18)," - ")</f>
        <v>1</v>
      </c>
      <c r="H18" s="403">
        <f>IF(ISNUMBER(G18/B18),G18/B18," - ")</f>
        <v>1</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1321</v>
      </c>
      <c r="D19" s="847" t="str">
        <f>IF(ISNUMBER(C19/Datos!BI19),C19/Datos!BI19," - ")</f>
        <v xml:space="preserve"> - </v>
      </c>
      <c r="E19" s="846">
        <f>SUBTOTAL(9,E14:E18)</f>
        <v>969</v>
      </c>
      <c r="F19" s="847">
        <f>IF(ISNUMBER(E19/B19),E19/B19," - ")</f>
        <v>242.25</v>
      </c>
      <c r="G19" s="846">
        <f>SUBTOTAL(9,G14:G18)</f>
        <v>893</v>
      </c>
      <c r="H19" s="847">
        <f>IF(ISNUMBER(G19/B19),G19/B19," - ")</f>
        <v>223.25</v>
      </c>
      <c r="I19" s="846">
        <f>SUBTOTAL(9,I14:I18)</f>
        <v>1397</v>
      </c>
      <c r="J19" s="847">
        <f>IF(ISNUMBER(I19/B19),I19/B19," - ")</f>
        <v>349.25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3596</v>
      </c>
      <c r="D20" s="792" t="str">
        <f>IF(ISNUMBER(C20/Datos!BI20),C20/Datos!BI20," - ")</f>
        <v xml:space="preserve"> - </v>
      </c>
      <c r="E20" s="791">
        <f>SUBTOTAL(9,E9:E19)</f>
        <v>2209</v>
      </c>
      <c r="F20" s="792">
        <f>IF(ISNUMBER(E20/B20),E20/B20," - ")</f>
        <v>552.25</v>
      </c>
      <c r="G20" s="791">
        <f>SUBTOTAL(9,G9:G19)</f>
        <v>2149</v>
      </c>
      <c r="H20" s="792">
        <f>IF(ISNUMBER(G20/B20),G20/B20," - ")</f>
        <v>537.25</v>
      </c>
      <c r="I20" s="791">
        <f>SUBTOTAL(9,I9:I19)</f>
        <v>3656</v>
      </c>
      <c r="J20" s="792">
        <f>IF(ISNUMBER(I20/B20),I20/B20," - ")</f>
        <v>914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K/F378Qn1niMmy6Cm3YgtCJwBTwHv4HxHHrVV6n4iT/2j41BknnslnbtFrcZSC6FzlP4eTeoU+eTz9kClsMnw==" saltValue="p1Ah6o7/MqDEGS6Vw/0dZ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MISLATA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4751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406</v>
      </c>
      <c r="AM12" s="687">
        <f>IF(ISNUMBER(Datos!N12+DatosP!N17),Datos!N12+DatosP!N17," - ")</f>
        <v>545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5.390923566878981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4.8646362098138749E-3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192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169</v>
      </c>
      <c r="AE13" s="934">
        <f t="shared" si="1"/>
        <v>0</v>
      </c>
      <c r="AF13" s="934">
        <f t="shared" si="1"/>
        <v>2</v>
      </c>
      <c r="AG13" s="934">
        <f t="shared" si="1"/>
        <v>0</v>
      </c>
      <c r="AH13" s="934">
        <f t="shared" si="1"/>
        <v>4751</v>
      </c>
      <c r="AI13" s="934">
        <f t="shared" si="1"/>
        <v>0</v>
      </c>
      <c r="AJ13" s="934">
        <f t="shared" si="1"/>
        <v>0</v>
      </c>
      <c r="AK13" s="934">
        <f t="shared" si="1"/>
        <v>0</v>
      </c>
      <c r="AL13" s="934">
        <f t="shared" si="1"/>
        <v>406</v>
      </c>
      <c r="AM13" s="934">
        <f t="shared" si="1"/>
        <v>545</v>
      </c>
      <c r="AN13" s="934">
        <f t="shared" si="1"/>
        <v>0</v>
      </c>
      <c r="AO13" s="934">
        <f t="shared" si="1"/>
        <v>0</v>
      </c>
      <c r="AP13" s="939">
        <f>IF(ISNUMBER(((Datos!L13/Datos!K13)*11)/factor_trimestre),((Datos!L13/Datos!K13)*11)/factor_trimestre," - ")</f>
        <v>5.6134812286689417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4.8646362098138749E-3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4.6931690929451291</v>
      </c>
      <c r="AQ19" s="939">
        <f>IF(ISNUMBER(((Datos!M19/Datos!L19)*11)/factor_trimestre),((Datos!M19/Datos!L19)*11)/factor_trimestre," - ")</f>
        <v>0.26198997852541162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9.6446700507614211E-2</v>
      </c>
      <c r="AW19" s="941">
        <f>IF(ISNUMBER((Datos!Q19-Datos!R19)/(Datos!S19-Datos!Q19+Datos!R19)),(Datos!Q19-Datos!R19)/(Datos!S19-Datos!Q19+Datos!R19)," - ")</f>
        <v>-0.20998980632008155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192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169</v>
      </c>
      <c r="AE20" s="952">
        <f t="shared" si="5"/>
        <v>0</v>
      </c>
      <c r="AF20" s="953">
        <f t="shared" si="5"/>
        <v>2</v>
      </c>
      <c r="AG20" s="953">
        <f t="shared" si="5"/>
        <v>0</v>
      </c>
      <c r="AH20" s="953">
        <f t="shared" si="5"/>
        <v>4751</v>
      </c>
      <c r="AI20" s="953">
        <f t="shared" si="5"/>
        <v>0</v>
      </c>
      <c r="AJ20" s="954">
        <f t="shared" si="5"/>
        <v>0</v>
      </c>
      <c r="AK20" s="954">
        <f t="shared" si="5"/>
        <v>0</v>
      </c>
      <c r="AL20" s="946">
        <f t="shared" si="5"/>
        <v>406</v>
      </c>
      <c r="AM20" s="946">
        <f t="shared" si="5"/>
        <v>545</v>
      </c>
      <c r="AN20" s="946">
        <f t="shared" si="5"/>
        <v>0</v>
      </c>
      <c r="AO20" s="946">
        <f t="shared" si="5"/>
        <v>0</v>
      </c>
      <c r="AP20" s="946">
        <f>IF(ISNUMBER(((Datos!L20/Datos!K20)*11)/factor_trimestre),((Datos!L20/Datos!K20)*11)/factor_trimestre," - ")</f>
        <v>5.2154963680387416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8.5209981740718196E-3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234.40420929098806</v>
      </c>
      <c r="AM22" s="733"/>
      <c r="AN22" s="733">
        <f>IF(ISNUMBER(STDEV(AN8:AN19)),STDEV(AN8:AN19),"-")</f>
        <v>0</v>
      </c>
      <c r="AO22" s="739">
        <f>IF(ISNUMBER(STDEV(AO8:AO19)),STDEV(AO8:AO19),"-")</f>
        <v>0</v>
      </c>
      <c r="AP22" s="776">
        <f>IF(ISNUMBER(STDEV(AP8:AP19)),STDEV(AP8:AP19),"-")</f>
        <v>0.48016796468816447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mXcAc7eujMBBWkHm3ac6JXyS5iTX+hMbCSczLz1QbUpq11eGrdJbdaE/qpAbY2BQQgzu0bxiQjnksjRPiThwA==" saltValue="0/k190WBmp6yr3dAv5+1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MISLATA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316.76601068227285</v>
      </c>
      <c r="CF9" s="228">
        <f ca="1">AVERAGEIFS($AB:$AB,$BW:$BW,BW9,$BX:$BX,BX9)</f>
        <v>316.76601068227285</v>
      </c>
      <c r="CG9" s="1191">
        <v>0.7</v>
      </c>
      <c r="CH9" s="1191">
        <f ca="1">AVERAGEIF($BW:$BW,$BW9,$AC:$AC)</f>
        <v>53.7</v>
      </c>
      <c r="CI9" s="228">
        <f ca="1">AVERAGEIFS($AC:$AC,$BW:$BW,$BW9,$BX:$BX,$BX9)</f>
        <v>53.7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466.33333333333331</v>
      </c>
      <c r="CR9" s="228">
        <f ca="1">AVERAGEIFS($AF:$AF,$BW:$BW,BW9,$BX:$BX,BX9)</f>
        <v>466.33333333333331</v>
      </c>
      <c r="CS9" s="1191">
        <v>1.3</v>
      </c>
      <c r="CT9" s="1191">
        <v>1.5</v>
      </c>
      <c r="CU9" s="1191">
        <f ca="1">AVERAGEIF($BW:$BW,$BW9,$AH:$AH)</f>
        <v>28.285714285714285</v>
      </c>
      <c r="CV9" s="228">
        <f ca="1">AVERAGEIFS($AH:$AH,$BW:$BW,$BW9,$BX:$BX,$BX9)</f>
        <v>28.285714285714285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1491.3</v>
      </c>
      <c r="DH9" s="1218">
        <f ca="1">AVERAGEIFS($AM:$AM,$BW:$BW,$BW9,$BX:$BX,$BX9)</f>
        <v>1491.3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2.7928552469957451</v>
      </c>
      <c r="ER9" s="1218">
        <f ca="1">AVERAGEIFS($BH:$BH,$BW:$BW,$BW9,$BX:$BX,$BX9)</f>
        <v>2.7928552469957451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316.76601068227285</v>
      </c>
      <c r="CF10" s="228">
        <f ca="1">AVERAGEIFS($AB:$AB,$BW:$BW,BW10,$BX:$BX,BX10)</f>
        <v>316.76601068227285</v>
      </c>
      <c r="CG10" s="1191">
        <v>0.7</v>
      </c>
      <c r="CH10" s="1191">
        <f ca="1">AVERAGEIF($BW:$BW,BW10,$AC:$AC)</f>
        <v>53.7</v>
      </c>
      <c r="CI10" s="228">
        <f ca="1">AVERAGEIFS($AC:$AC,$BW:$BW,BW10,$BX:$BX,BX10)</f>
        <v>53.7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466.33333333333331</v>
      </c>
      <c r="CR10" s="228">
        <f ca="1">AVERAGEIFS($AF:$AF,$BW:$BW,BW10,$BX:$BX,BX10)</f>
        <v>466.33333333333331</v>
      </c>
      <c r="CS10" s="1191">
        <v>1.3</v>
      </c>
      <c r="CT10" s="1191">
        <v>1.5</v>
      </c>
      <c r="CU10" s="1191">
        <f ca="1">AVERAGEIF($BW:$BW,$BW10,$AH:$AH)</f>
        <v>28.285714285714285</v>
      </c>
      <c r="CV10" s="228">
        <f ca="1">AVERAGEIFS($AH:$AH,$BW:$BW,$BW10,$BX:$BX,$BX10)</f>
        <v>28.285714285714285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1491.3</v>
      </c>
      <c r="DH10" s="1218">
        <f ca="1">AVERAGEIFS($AM:$AM,$BW:$BW,$BW10,$BX:$BX,$BX10)</f>
        <v>1491.3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2.7928552469957451</v>
      </c>
      <c r="ER10" s="1218">
        <f ca="1">AVERAGEIFS($BH:$BH,$BW:$BW,$BW10,$BX:$BX,$BX10)</f>
        <v>2.7928552469957451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316.76601068227285</v>
      </c>
      <c r="CF11" s="228">
        <f ca="1">AVERAGEIFS($AB:$AB,$BW:$BW,BW11,$BX:$BX,BX11)</f>
        <v>316.76601068227285</v>
      </c>
      <c r="CG11" s="1191">
        <v>0.7</v>
      </c>
      <c r="CH11" s="1191">
        <f ca="1">AVERAGEIF($BW:$BW,BW11,$AC:$AC)</f>
        <v>53.7</v>
      </c>
      <c r="CI11" s="228">
        <f ca="1">AVERAGEIFS($AC:$AC,$BW:$BW,BW11,$BX:$BX,BX11)</f>
        <v>53.7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466.33333333333331</v>
      </c>
      <c r="CR11" s="228">
        <f ca="1">AVERAGEIFS($AF:$AF,$BW:$BW,BW11,$BX:$BX,BX11)</f>
        <v>466.33333333333331</v>
      </c>
      <c r="CS11" s="1191">
        <v>1.3</v>
      </c>
      <c r="CT11" s="1191">
        <v>1.5</v>
      </c>
      <c r="CU11" s="1191">
        <f ca="1">AVERAGEIF($BW:$BW,$BW11,$AH:$AH)</f>
        <v>28.285714285714285</v>
      </c>
      <c r="CV11" s="228">
        <f ca="1">AVERAGEIFS($AH:$AH,$BW:$BW,$BW11,$BX:$BX,$BX11)</f>
        <v>28.285714285714285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1491.3</v>
      </c>
      <c r="DH11" s="1218">
        <f ca="1">AVERAGEIFS($AM:$AM,$BW:$BW,$BW11,$BX:$BX,$BX11)</f>
        <v>1491.3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2.7928552469957451</v>
      </c>
      <c r="ER11" s="1218">
        <f ca="1">AVERAGEIFS($BH:$BH,$BW:$BW,$BW11,$BX:$BX,$BX11)</f>
        <v>2.7928552469957451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v>
      </c>
      <c r="O12" s="333"/>
      <c r="P12" s="333"/>
      <c r="Q12" s="225">
        <f>IF(ISNUMBER(Datos!P12),Datos!P12,0)</f>
        <v>192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66</v>
      </c>
      <c r="AI12" s="224" t="str">
        <f>IF(ISNUMBER(Datos!CD12),Datos!CD12,"-")</f>
        <v>-</v>
      </c>
      <c r="AJ12" s="1214" t="str">
        <f>IF(ISNUMBER(Datos!EN12),Datos!EN12," - ")</f>
        <v xml:space="preserve"> - </v>
      </c>
      <c r="AK12" s="333"/>
      <c r="AL12" s="478"/>
      <c r="AM12" s="1214">
        <f>IF(ISNUMBER(Datos!R12),Datos!R12," - ")</f>
        <v>4751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406</v>
      </c>
      <c r="BD12" s="228">
        <f>IF(ISNUMBER(Datos!N12),Datos!N12," - ")</f>
        <v>545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1.0129032258064516</v>
      </c>
      <c r="BH12" s="1214">
        <f>IF(ISNUMBER(((IF(J_V="SI",Datos!L12/Datos!K12,(Datos!L12+Datos!AB12)/(Datos!K12+Datos!AA12)))*11)/factor_trimestre),((IF(J_V="SI",Datos!L12/Datos!K12,(Datos!L12+Datos!AB12)/(Datos!K12+Datos!AA12)))*11)/factor_trimestre," - ")</f>
        <v>5.390923566878981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4.8646362098138749E-3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316.76601068227285</v>
      </c>
      <c r="CF12" s="228">
        <f ca="1">AVERAGEIFS($AB:$AB,$BW:$BW,BW12,$BX:$BX,BX12)</f>
        <v>316.76601068227285</v>
      </c>
      <c r="CG12" s="1191">
        <v>0.7</v>
      </c>
      <c r="CH12" s="1191">
        <f ca="1">AVERAGEIF($BW:$BW,BW12,$AC:$AC)</f>
        <v>53.7</v>
      </c>
      <c r="CI12" s="228">
        <f ca="1">AVERAGEIFS($AC:$AC,$BW:$BW,BW12,$BX:$BX,BX12)</f>
        <v>53.7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466.33333333333331</v>
      </c>
      <c r="CR12" s="228">
        <f ca="1">AVERAGEIFS($AF:$AF,$BW:$BW,BW12,$BX:$BX,BX12)</f>
        <v>466.33333333333331</v>
      </c>
      <c r="CS12" s="1191">
        <v>1.3</v>
      </c>
      <c r="CT12" s="1191">
        <v>1.5</v>
      </c>
      <c r="CU12" s="1191">
        <f ca="1">AVERAGEIF($BW:$BW,$BW12,$AH:$AH)</f>
        <v>28.285714285714285</v>
      </c>
      <c r="CV12" s="228">
        <f ca="1">AVERAGEIFS($AH:$AH,$BW:$BW,$BW12,$BX:$BX,$BX12)</f>
        <v>28.285714285714285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1491.3</v>
      </c>
      <c r="DH12" s="1218">
        <f ca="1">AVERAGEIFS($AM:$AM,$BW:$BW,$BW12,$BX:$BX,$BX12)</f>
        <v>1491.3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2.7928552469957451</v>
      </c>
      <c r="ER12" s="1218">
        <f ca="1">AVERAGEIFS($BH:$BH,$BW:$BW,$BW12,$BX:$BX,$BX12)</f>
        <v>2.7928552469957451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71</v>
      </c>
      <c r="O13" s="897">
        <f t="shared" si="1"/>
        <v>0</v>
      </c>
      <c r="P13" s="897">
        <f t="shared" si="1"/>
        <v>0</v>
      </c>
      <c r="Q13" s="896">
        <f t="shared" si="1"/>
        <v>192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169</v>
      </c>
      <c r="AD13" s="896">
        <f t="shared" si="2"/>
        <v>0</v>
      </c>
      <c r="AE13" s="896">
        <f t="shared" si="2"/>
        <v>0</v>
      </c>
      <c r="AF13" s="896">
        <f t="shared" si="2"/>
        <v>2</v>
      </c>
      <c r="AG13" s="896">
        <f t="shared" si="2"/>
        <v>0</v>
      </c>
      <c r="AH13" s="896">
        <f t="shared" si="2"/>
        <v>66</v>
      </c>
      <c r="AI13" s="896">
        <f t="shared" si="2"/>
        <v>0</v>
      </c>
      <c r="AJ13" s="896">
        <f t="shared" si="2"/>
        <v>0</v>
      </c>
      <c r="AK13" s="896">
        <f t="shared" si="2"/>
        <v>0</v>
      </c>
      <c r="AL13" s="896">
        <f t="shared" si="2"/>
        <v>0</v>
      </c>
      <c r="AM13" s="896">
        <f t="shared" si="2"/>
        <v>4755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406</v>
      </c>
      <c r="BD13" s="896">
        <f t="shared" si="2"/>
        <v>545</v>
      </c>
      <c r="BE13" s="896">
        <f t="shared" si="2"/>
        <v>0</v>
      </c>
      <c r="BF13" s="896">
        <f t="shared" si="2"/>
        <v>0</v>
      </c>
      <c r="BG13" s="896">
        <f>IF(ISNUMBER(Datos!K13/Datos!J13),Datos!K13/Datos!J13," - ")</f>
        <v>1.0025662959794697</v>
      </c>
      <c r="BH13" s="900">
        <f>IF(ISNUMBER(((Datos!L13/Datos!K13)*11)/factor_trimestre),((Datos!L13/Datos!K13)*11)/factor_trimestre," - ")</f>
        <v>5.6134812286689417</v>
      </c>
      <c r="BI13" s="896">
        <f>IF(ISNUMBER('Resol  Asuntos'!D13/NºAsuntos!G13),'Resol  Asuntos'!D13/NºAsuntos!G13," - ")</f>
        <v>0.32324840764331209</v>
      </c>
      <c r="BJ13" s="896" t="str">
        <f>IF(ISNUMBER(Datos!CI13/Datos!CJ13),Datos!CI13/Datos!CJ13," - ")</f>
        <v xml:space="preserve"> - </v>
      </c>
      <c r="BK13" s="896">
        <f>SUBTOTAL(9,BK8:BK12)</f>
        <v>0</v>
      </c>
      <c r="BL13" s="896">
        <f>IF(ISNUMBER((I13-AB13+L13)/(F13)),(I13-AB13+L13)/(F13)," - ")</f>
        <v>0</v>
      </c>
      <c r="BM13" s="901">
        <f>SUBTOTAL(9,BM9:BM12)</f>
        <v>4.8646362098138749E-3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316.76601068227285</v>
      </c>
      <c r="CF15" s="228">
        <f ca="1">AVERAGEIFS($AB:$AB,$BW:$BW,BW15,$BX:$BX,BX15)</f>
        <v>316.76601068227285</v>
      </c>
      <c r="CG15" s="1191">
        <v>0.7</v>
      </c>
      <c r="CH15" s="1191">
        <f ca="1">AVERAGEIF($BW:$BW,BW15,$AC:$AC)</f>
        <v>53.7</v>
      </c>
      <c r="CI15" s="228">
        <f ca="1">AVERAGEIFS($AC:$AC,$BW:$BW,BW15,$BX:$BX,BX15)</f>
        <v>53.7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466.33333333333331</v>
      </c>
      <c r="CR15" s="228">
        <f ca="1">AVERAGEIFS($AF:$AF,$BW:$BW,BW15,$BX:$BX,BX15)</f>
        <v>466.33333333333331</v>
      </c>
      <c r="CS15" s="1191">
        <v>1.3</v>
      </c>
      <c r="CT15" s="1191">
        <v>1.5</v>
      </c>
      <c r="CU15" s="1191">
        <f ca="1">AVERAGEIF($BW:$BW,$BW15,$AH:$AH)</f>
        <v>28.285714285714285</v>
      </c>
      <c r="CV15" s="228">
        <f ca="1">AVERAGEIFS($AH:$AH,$BW:$BW,$BW15,$BX:$BX,$BX15)</f>
        <v>28.285714285714285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1491.3</v>
      </c>
      <c r="DH15" s="1218">
        <f ca="1">AVERAGEIFS($AM:$AM,$BW:$BW,$BW15,$BX:$BX,$BX15)</f>
        <v>1491.3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2.7928552469957451</v>
      </c>
      <c r="ER15" s="1218">
        <f ca="1">AVERAGEIFS($BH:$BH,$BW:$BW,$BW15,$BX:$BX,$BX15)</f>
        <v>2.7928552469957451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316.76601068227285</v>
      </c>
      <c r="CF16" s="1218">
        <f ca="1">AVERAGEIFS($AB:$AB,$BW:$BW,BW16,$BX:$BX,BX16)</f>
        <v>316.76601068227285</v>
      </c>
      <c r="CG16" s="1191">
        <v>0.7</v>
      </c>
      <c r="CH16" s="1191">
        <f ca="1">AVERAGEIF($BW:$BW,BW16,$AC:$AC)</f>
        <v>53.7</v>
      </c>
      <c r="CI16" s="1218">
        <f ca="1">AVERAGEIFS($AC:$AC,$BW:$BW,BW16,$BX:$BX,BX16)</f>
        <v>53.7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466.33333333333331</v>
      </c>
      <c r="CR16" s="1218">
        <f ca="1">AVERAGEIFS($AF:$AF,$BW:$BW,BW16,$BX:$BX,BX16)</f>
        <v>466.33333333333331</v>
      </c>
      <c r="CS16" s="1191">
        <v>1.3</v>
      </c>
      <c r="CT16" s="1191">
        <v>1.5</v>
      </c>
      <c r="CU16" s="1191">
        <f ca="1">AVERAGEIF($BW:$BW,$BW16,$AH:$AH)</f>
        <v>28.285714285714285</v>
      </c>
      <c r="CV16" s="1218">
        <f ca="1">AVERAGEIFS($AH:$AH,$BW:$BW,$BW16,$BX:$BX,$BX16)</f>
        <v>28.285714285714285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1491.3</v>
      </c>
      <c r="DH16" s="1218">
        <f ca="1">AVERAGEIFS($AM:$AM,$BW:$BW,$BW16,$BX:$BX,$BX16)</f>
        <v>1491.3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2.7928552469957451</v>
      </c>
      <c r="ER16" s="1218">
        <f ca="1">AVERAGEIFS($BH:$BH,$BW:$BW,$BW16,$BX:$BX,$BX16)</f>
        <v>2.7928552469957451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1320</v>
      </c>
      <c r="G17" s="596">
        <f>IF(ISNUMBER(IF(D_I="SI",Datos!I17,Datos!I17+Datos!AC17)),IF(D_I="SI",Datos!I17,Datos!I17+Datos!AC17)," - ")</f>
        <v>1320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892</v>
      </c>
      <c r="AC17" s="224">
        <f>IF(ISNUMBER(Datos!Q17),Datos!Q17," - ")</f>
        <v>10</v>
      </c>
      <c r="AD17" s="224"/>
      <c r="AE17" s="224"/>
      <c r="AF17" s="224">
        <f>IF(ISNUMBER(IF(D_I="SI",Datos!L17,Datos!L17+Datos!AF17)),IF(D_I="SI",Datos!L17,Datos!L17+Datos!AF17)," - ")</f>
        <v>1397</v>
      </c>
      <c r="AG17" s="333"/>
      <c r="AH17" s="224"/>
      <c r="AI17" s="224"/>
      <c r="AJ17" s="1214"/>
      <c r="AK17" s="333"/>
      <c r="AL17" s="478"/>
      <c r="AM17" s="1214">
        <f>IF(ISNUMBER(Datos!R17),Datos!R17," - ")</f>
        <v>216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122</v>
      </c>
      <c r="BD17" s="228">
        <f>IF(ISNUMBER(Datos!N17),Datos!N17," - ")</f>
        <v>572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0.92053663570691435</v>
      </c>
      <c r="BH17" s="1214">
        <f>IF(ISNUMBER(((IF(D_I="SI",Datos!L17/Datos!K17,(Datos!L17+Datos!AF17)/(Datos!K17+Datos!AE17)))*11)/factor_trimestre),((IF(D_I="SI",Datos!L17/Datos!K17,(Datos!L17+Datos!AF17)/(Datos!K17+Datos!AE17)))*11)/factor_trimestre," - ")</f>
        <v>4.698430493273543</v>
      </c>
      <c r="BI17" s="242">
        <f>IF(ISNUMBER('Resol  Asuntos'!D17/NºAsuntos!G17),'Resol  Asuntos'!D17/NºAsuntos!G17," - ")</f>
        <v>0.1367713004484305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316.76601068227285</v>
      </c>
      <c r="CF17" s="228">
        <f ca="1">AVERAGEIFS($AB:$AB,$BW:$BW,BW17,$BX:$BX,BX17)</f>
        <v>316.76601068227285</v>
      </c>
      <c r="CG17" s="1191">
        <v>0.7</v>
      </c>
      <c r="CH17" s="1191">
        <f ca="1">AVERAGEIF($BW:$BW,BW17,$AC:$AC)</f>
        <v>53.7</v>
      </c>
      <c r="CI17" s="228">
        <f ca="1">AVERAGEIFS($AC:$AC,$BW:$BW,BW17,$BX:$BX,BX17)</f>
        <v>53.7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466.33333333333331</v>
      </c>
      <c r="CR17" s="228">
        <f ca="1">AVERAGEIFS($AF:$AF,$BW:$BW,BW17,$BX:$BX,BX17)</f>
        <v>466.33333333333331</v>
      </c>
      <c r="CS17" s="1191">
        <v>1.3</v>
      </c>
      <c r="CT17" s="1191">
        <v>1.5</v>
      </c>
      <c r="CU17" s="1191">
        <f ca="1">AVERAGEIF($BW:$BW,$BW17,$AH:$AH)</f>
        <v>28.285714285714285</v>
      </c>
      <c r="CV17" s="228">
        <f ca="1">AVERAGEIFS($AH:$AH,$BW:$BW,$BW17,$BX:$BX,$BX17)</f>
        <v>28.285714285714285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1491.3</v>
      </c>
      <c r="DH17" s="1218">
        <f ca="1">AVERAGEIFS($AM:$AM,$BW:$BW,$BW17,$BX:$BX,$BX17)</f>
        <v>1491.3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2.7928552469957451</v>
      </c>
      <c r="ER17" s="1218">
        <f ca="1">AVERAGEIFS($BH:$BH,$BW:$BW,$BW17,$BX:$BX,$BX17)</f>
        <v>2.7928552469957451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316.76601068227285</v>
      </c>
      <c r="CF18" s="228">
        <f ca="1">AVERAGEIFS($AB:$AB,$BW:$BW,BW18,$BX:$BX,BX18)</f>
        <v>316.76601068227285</v>
      </c>
      <c r="CG18" s="1191">
        <v>0.7</v>
      </c>
      <c r="CH18" s="1191">
        <f ca="1">AVERAGEIF($BW:$BW,BW18,$AC:$AC)</f>
        <v>53.7</v>
      </c>
      <c r="CI18" s="228">
        <f ca="1">AVERAGEIFS($AC:$AC,$BW:$BW,BW18,$BX:$BX,BX18)</f>
        <v>53.7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466.33333333333331</v>
      </c>
      <c r="CR18" s="228">
        <f ca="1">AVERAGEIFS($AF:$AF,$BW:$BW,BW18,$BX:$BX,BX18)</f>
        <v>466.33333333333331</v>
      </c>
      <c r="CS18" s="1191">
        <v>1.3</v>
      </c>
      <c r="CT18" s="1191">
        <v>1.5</v>
      </c>
      <c r="CU18" s="1191">
        <f ca="1">AVERAGEIF($BW:$BW,$BW18,$AH:$AH)</f>
        <v>28.285714285714285</v>
      </c>
      <c r="CV18" s="228">
        <f ca="1">AVERAGEIFS($AH:$AH,$BW:$BW,$BW18,$BX:$BX,$BX18)</f>
        <v>28.285714285714285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1491.3</v>
      </c>
      <c r="DH18" s="1218">
        <f ca="1">AVERAGEIFS($AM:$AM,$BW:$BW,$BW18,$BX:$BX,$BX18)</f>
        <v>1491.3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2.7928552469957451</v>
      </c>
      <c r="ER18" s="1218">
        <f ca="1">AVERAGEIFS($BH:$BH,$BW:$BW,$BW18,$BX:$BX,$BX18)</f>
        <v>2.7928552469957451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1320</v>
      </c>
      <c r="G19" s="895">
        <f>SUBTOTAL(9,G15:G18)</f>
        <v>1321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893</v>
      </c>
      <c r="AC19" s="896">
        <f t="shared" si="5"/>
        <v>10</v>
      </c>
      <c r="AD19" s="896">
        <f t="shared" si="5"/>
        <v>0</v>
      </c>
      <c r="AE19" s="896">
        <f t="shared" si="5"/>
        <v>0</v>
      </c>
      <c r="AF19" s="896">
        <f t="shared" si="5"/>
        <v>1397</v>
      </c>
      <c r="AG19" s="896">
        <f t="shared" si="5"/>
        <v>0</v>
      </c>
      <c r="AH19" s="896">
        <f t="shared" si="5"/>
        <v>0</v>
      </c>
      <c r="AI19" s="896">
        <f t="shared" si="5"/>
        <v>0</v>
      </c>
      <c r="AJ19" s="896">
        <f t="shared" si="5"/>
        <v>0</v>
      </c>
      <c r="AK19" s="896">
        <f t="shared" si="5"/>
        <v>0</v>
      </c>
      <c r="AL19" s="896">
        <f t="shared" si="5"/>
        <v>0</v>
      </c>
      <c r="AM19" s="896">
        <f t="shared" si="5"/>
        <v>216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122</v>
      </c>
      <c r="BD19" s="896">
        <f t="shared" si="5"/>
        <v>572</v>
      </c>
      <c r="BE19" s="896">
        <f t="shared" si="5"/>
        <v>0</v>
      </c>
      <c r="BF19" s="896">
        <f t="shared" si="5"/>
        <v>0</v>
      </c>
      <c r="BG19" s="896">
        <f>IF(ISNUMBER(Datos!K19/Datos!J19),Datos!K19/Datos!J19," - ")</f>
        <v>0.92156862745098034</v>
      </c>
      <c r="BH19" s="900">
        <f>IF(ISNUMBER(((Datos!L19/Datos!K19)*11)/factor_trimestre),((Datos!L19/Datos!K19)*11)/factor_trimestre," - ")</f>
        <v>4.6931690929451291</v>
      </c>
      <c r="BI19" s="896">
        <f>SUBTOTAL(9,BI15:BI18)</f>
        <v>0.1367713004484305</v>
      </c>
      <c r="BJ19" s="896">
        <f>SUBTOTAL(9,BJ15:BJ18)</f>
        <v>0</v>
      </c>
      <c r="BK19" s="896">
        <f>SUBTOTAL(9,BK15:BK18)</f>
        <v>0</v>
      </c>
      <c r="BL19" s="896">
        <f>IF(ISNUMBER((I19-AB19+L19)/(F19)),(I19-AB19+L19)/(F19)," - ")</f>
        <v>-0.67651515151515151</v>
      </c>
      <c r="BM19" s="902">
        <f>IF(ISNUMBER((Datos!P19-Datos!Q19)/(Datos!R19-Datos!P19+Datos!Q19)),(Datos!P19-Datos!Q19)/(Datos!R19-Datos!P19+Datos!Q19)," - ")</f>
        <v>9.6446700507614211E-2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1322</v>
      </c>
      <c r="G20" s="817">
        <f t="shared" si="7"/>
        <v>1323</v>
      </c>
      <c r="H20" s="819">
        <f t="shared" si="7"/>
        <v>0</v>
      </c>
      <c r="I20" s="817">
        <f t="shared" si="7"/>
        <v>0</v>
      </c>
      <c r="J20" s="819">
        <f t="shared" si="7"/>
        <v>0</v>
      </c>
      <c r="K20" s="819">
        <f t="shared" si="7"/>
        <v>0</v>
      </c>
      <c r="L20" s="878">
        <f t="shared" si="7"/>
        <v>0</v>
      </c>
      <c r="M20" s="878">
        <f t="shared" si="7"/>
        <v>0</v>
      </c>
      <c r="N20" s="878">
        <f t="shared" si="7"/>
        <v>71</v>
      </c>
      <c r="O20" s="878">
        <f t="shared" si="7"/>
        <v>0</v>
      </c>
      <c r="P20" s="878">
        <f t="shared" si="7"/>
        <v>0</v>
      </c>
      <c r="Q20" s="819">
        <f t="shared" si="7"/>
        <v>221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893</v>
      </c>
      <c r="AC20" s="818">
        <f t="shared" si="8"/>
        <v>179</v>
      </c>
      <c r="AD20" s="818">
        <f t="shared" si="8"/>
        <v>0</v>
      </c>
      <c r="AE20" s="818">
        <f t="shared" si="8"/>
        <v>0</v>
      </c>
      <c r="AF20" s="825">
        <f t="shared" si="8"/>
        <v>1399</v>
      </c>
      <c r="AG20" s="825">
        <f t="shared" si="8"/>
        <v>0</v>
      </c>
      <c r="AH20" s="825">
        <f t="shared" si="8"/>
        <v>66</v>
      </c>
      <c r="AI20" s="825">
        <f t="shared" si="8"/>
        <v>0</v>
      </c>
      <c r="AJ20" s="818">
        <f t="shared" si="8"/>
        <v>0</v>
      </c>
      <c r="AK20" s="825">
        <f t="shared" si="8"/>
        <v>0</v>
      </c>
      <c r="AL20" s="825">
        <f t="shared" si="8"/>
        <v>0</v>
      </c>
      <c r="AM20" s="825">
        <f t="shared" si="8"/>
        <v>4971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528</v>
      </c>
      <c r="BD20" s="817">
        <f t="shared" si="8"/>
        <v>1117</v>
      </c>
      <c r="BE20" s="817">
        <f t="shared" si="8"/>
        <v>0</v>
      </c>
      <c r="BF20" s="827">
        <f t="shared" si="8"/>
        <v>0</v>
      </c>
      <c r="BG20" s="912">
        <f>IF(ISNUMBER(Datos!K20/Datos!J20),Datos!K20/Datos!J20," - ")</f>
        <v>0.96585594013096354</v>
      </c>
      <c r="BH20" s="912">
        <f>IF(ISNUMBER(((Datos!L20/Datos!K20)*11)/factor_trimestre),((Datos!L20/Datos!K20)*11)/factor_trimestre," - ")</f>
        <v>5.2154963680387416</v>
      </c>
      <c r="BI20" s="810">
        <f>IF(ISNUMBER(Datos!J20/Datos!I20),Datos!J20/Datos!I20," - ")</f>
        <v>0.60790446403184528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-0.67549167927382758</v>
      </c>
      <c r="BM20" s="886">
        <f>IF(ISNUMBER((Datos!P20-Datos!Q20+R20)/(Datos!R20-Datos!P20+Datos!Q20-R20)),(Datos!P20-Datos!Q20+R20)/(Datos!R20-Datos!P20+Datos!Q20-R20)," - ")</f>
        <v>8.5209981740718196E-3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529.20000000000005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760.94765479192677</v>
      </c>
      <c r="G22" s="551">
        <f>IF(ISNUMBER(STDEV(G8:G19)),STDEV(G8:G19),"-")</f>
        <v>722.35496814239468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488.6601068227281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186.32444820795794</v>
      </c>
      <c r="BD22" s="550"/>
      <c r="BE22" s="550">
        <f>IF(ISNUMBER(STDEV(BE8:BE19)),STDEV(BE8:BE19),"-")</f>
        <v>0</v>
      </c>
      <c r="BF22" s="555">
        <f>IF(ISNUMBER(STDEV(BF8:BF19)),STDEV(BF8:BF19),"-")</f>
        <v>0</v>
      </c>
      <c r="BG22" s="772">
        <f>IF(ISNUMBER(STDEV(BG8:BG19)),STDEV(BG8:BG19),"-")</f>
        <v>5.0225325965476859E-2</v>
      </c>
      <c r="BH22" s="773">
        <f>IF(ISNUMBER(STDEV(BH8:BH19)),STDEV(BH8:BH19),"-")</f>
        <v>2.317051720152111</v>
      </c>
      <c r="BI22" s="248">
        <f>IF(ISNUMBER(STDEV(BI8:BI19)),STDEV(BI8:BI19),"-")</f>
        <v>0.13274340326113801</v>
      </c>
      <c r="BJ22" s="1415" t="str">
        <f>IF(ISNUMBER(BL22/BM22),BL22/BM22," - ")</f>
        <v xml:space="preserve"> - </v>
      </c>
      <c r="BK22" s="574"/>
      <c r="BL22" s="558">
        <f>IF(ISNUMBER(STDEV(BL8:BL19)),STDEV(BL8:BL19),"-")</f>
        <v>0.47836845121180832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XrCOxdH+kRnfkasc2mYPG0Y6Opb6NbvI/dXczH70leGZH0tVW2+wo1mjYEpgmQu/Lb/YbT7sQGhzhpXHMkkMA==" saltValue="m9FT+LtMdJ/XQAYesEbuP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MISLATA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0.32324840764331209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0.22857114105233939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KKUfSw/Lp4SBxdepxaZTz6ulFnVo1bfMsH+7VZmNd3wepFOEE5U0nMoFHCHxx9RkLQAMTo+sNZXCQj7gG56e5Q==" saltValue="cZ9wJ7c0DYvg1nUqiQYEV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MISLATA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kNXyh7VKk+0hDTWCc4j8yCJyxznKSxNWv4N2Ajalthk53wLLhcyrpBA1+u3aID7ruX5osG/z+I+B9zFOJf0uA==" saltValue="CHbFtS4YXOni023yrnwE5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MISLATA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1R+zCdHFKhY8z13VmbrOclDZlsVd6LYTXz4tVuTAgw1l/r4ki082mLlnzOdCUmE8a+H1xn7bU5z6Z5MyDcnvOQ==" saltValue="4dHEZgdinEx+0AqVPY6Gd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MISLATA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406</v>
      </c>
      <c r="E12" s="403">
        <f t="shared" si="0"/>
        <v>101.5</v>
      </c>
      <c r="F12" s="402">
        <f>IF(ISNUMBER(Datos!N12),Datos!N12," - ")</f>
        <v>545</v>
      </c>
      <c r="G12" s="403">
        <f t="shared" si="1"/>
        <v>136.25</v>
      </c>
      <c r="H12" s="402">
        <f>IF(ISNUMBER(Datos!O12),Datos!O12," - ")</f>
        <v>460</v>
      </c>
      <c r="I12" s="403">
        <f t="shared" si="2"/>
        <v>115</v>
      </c>
      <c r="BZ12" s="1181">
        <f>Datos!EZ12</f>
        <v>0</v>
      </c>
    </row>
    <row r="13" spans="1:78" ht="14.25" thickTop="1" thickBot="1">
      <c r="A13" s="845" t="str">
        <f>Datos!A13</f>
        <v>TOTAL</v>
      </c>
      <c r="B13" s="846">
        <f>Datos!AP13</f>
        <v>4</v>
      </c>
      <c r="C13" s="848">
        <f>Datos!AR13</f>
        <v>4</v>
      </c>
      <c r="D13" s="846">
        <f>SUBTOTAL(9,D9:D12)</f>
        <v>406</v>
      </c>
      <c r="E13" s="847">
        <f t="shared" si="0"/>
        <v>101.5</v>
      </c>
      <c r="F13" s="846">
        <f>SUBTOTAL(9,F9:F12)</f>
        <v>545</v>
      </c>
      <c r="G13" s="847">
        <f t="shared" si="1"/>
        <v>136.25</v>
      </c>
      <c r="H13" s="846">
        <f>SUBTOTAL(9,H9:H12)</f>
        <v>460</v>
      </c>
      <c r="I13" s="847">
        <f>IF(ISNUMBER(H13/B13),H13/B13," - ")</f>
        <v>115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122</v>
      </c>
      <c r="E17" s="403">
        <f t="shared" si="3"/>
        <v>30.5</v>
      </c>
      <c r="F17" s="402">
        <f>IF(ISNUMBER(Datos!N17),Datos!N17," - ")</f>
        <v>572</v>
      </c>
      <c r="G17" s="403">
        <f t="shared" si="4"/>
        <v>143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122</v>
      </c>
      <c r="E19" s="847">
        <f t="shared" si="3"/>
        <v>30.5</v>
      </c>
      <c r="F19" s="846">
        <f>SUBTOTAL(9,F15:F18)</f>
        <v>572</v>
      </c>
      <c r="G19" s="847">
        <f t="shared" si="4"/>
        <v>143</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528</v>
      </c>
      <c r="E20" s="792">
        <f>IF(ISNUMBER(D20/B20),D20/B20," - ")</f>
        <v>132</v>
      </c>
      <c r="F20" s="791">
        <f>SUBTOTAL(9,F8:F19)</f>
        <v>1117</v>
      </c>
      <c r="G20" s="792">
        <f>IF(ISNUMBER(F20/B20),F20/B20," - ")</f>
        <v>279.25</v>
      </c>
      <c r="H20" s="791">
        <f>SUBTOTAL(9,H8:H19)</f>
        <v>460</v>
      </c>
      <c r="I20" s="792">
        <f>IF(ISNUMBER(H20/B20),H20/B20," - ")</f>
        <v>115</v>
      </c>
    </row>
    <row r="23" spans="1:78">
      <c r="A23" s="390" t="str">
        <f>Criterios!A4</f>
        <v>Fecha Informe: 18 jun. 2026</v>
      </c>
    </row>
    <row r="28" spans="1:78">
      <c r="A28" s="413"/>
    </row>
  </sheetData>
  <sheetProtection algorithmName="SHA-512" hashValue="d0bMrq+EF/rvNSRTG137JYO8/TE6ytnk74xz7aYnH5eNqJ0glVrbA83oTJrgO1m9p3SP9tR+tU2FKgcqLymOgg==" saltValue="ozbhYwY5SD/8oUYFF38J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MISLATA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192</v>
      </c>
      <c r="C12" s="433">
        <f>IF(ISNUMBER(Datos!Q12),Datos!Q12," - ")</f>
        <v>169</v>
      </c>
      <c r="D12" s="407">
        <f>IF(ISNUMBER(Datos!R12),Datos!R12," - ")</f>
        <v>4751</v>
      </c>
    </row>
    <row r="13" spans="1:4" ht="14.25" thickTop="1" thickBot="1">
      <c r="A13" s="845" t="str">
        <f>Datos!A13</f>
        <v>TOTAL</v>
      </c>
      <c r="B13" s="846">
        <f>SUBTOTAL(9,B9:B12)</f>
        <v>192</v>
      </c>
      <c r="C13" s="850">
        <f>SUBTOTAL(9,C9:C12)</f>
        <v>169</v>
      </c>
      <c r="D13" s="848">
        <f>SUBTOTAL(9,D9:D12)</f>
        <v>4755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29</v>
      </c>
      <c r="C17" s="433">
        <f>IF(ISNUMBER(Datos!Q17),Datos!Q17," - ")</f>
        <v>10</v>
      </c>
      <c r="D17" s="407">
        <f>IF(ISNUMBER(Datos!R17),Datos!R17," - ")</f>
        <v>216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29</v>
      </c>
      <c r="C19" s="850">
        <f>SUBTOTAL(9,C15:C18)</f>
        <v>10</v>
      </c>
      <c r="D19" s="848">
        <f>SUBTOTAL(9,D15:D18)</f>
        <v>216</v>
      </c>
    </row>
    <row r="20" spans="1:4" ht="16.5" customHeight="1" thickTop="1" thickBot="1">
      <c r="A20" s="790" t="str">
        <f>Datos!A20</f>
        <v>TOTAL JURISDICCIONES</v>
      </c>
      <c r="B20" s="795">
        <f>SUBTOTAL(9,B8:B19)</f>
        <v>221</v>
      </c>
      <c r="C20" s="796">
        <f>SUBTOTAL(9,C8:C19)</f>
        <v>179</v>
      </c>
      <c r="D20" s="797">
        <f>SUBTOTAL(9,D8:D19)</f>
        <v>4971</v>
      </c>
    </row>
    <row r="21" spans="1:4" ht="7.5" customHeight="1"/>
    <row r="22" spans="1:4" ht="6" customHeight="1"/>
    <row r="23" spans="1:4">
      <c r="A23" s="390" t="str">
        <f>Criterios!A4</f>
        <v>Fecha Informe: 18 jun. 2026</v>
      </c>
    </row>
    <row r="28" spans="1:4">
      <c r="A28" s="413"/>
    </row>
  </sheetData>
  <sheetProtection algorithmName="SHA-512" hashValue="DmmX7H9dvDLIRcZ1l50AbCSKtiMCLuIdvVdH0KZJH+y74NZGdYNnKP8FR0c2FtcsEXpkcypSuoBeX+ZFuvgC1A==" saltValue="rZaOVWynnvOClUIKIhUS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MISLATA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-0.83333333333333337</v>
      </c>
      <c r="C10" s="455" t="str">
        <f>IF(ISNUMBER((Datos!J10-Datos!T10)/Datos!T10),(Datos!J10-Datos!T10)/Datos!T10," - ")</f>
        <v xml:space="preserve"> - </v>
      </c>
      <c r="D10" s="455">
        <f>IF(ISNUMBER((Datos!K10-Datos!U10)/Datos!U10),(Datos!K10-Datos!U10)/Datos!U10," - ")</f>
        <v>-1</v>
      </c>
      <c r="E10" s="455">
        <f>IF(ISNUMBER((Datos!L10-Datos!V10)/Datos!V10),(Datos!L10-Datos!V10)/Datos!V10," - ")</f>
        <v>-0.66666666666666663</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-5.7628524046434496E-2</v>
      </c>
      <c r="C12" s="455">
        <f>IF(ISNUMBER(
   IF(J_V="SI",(Datos!J12-Datos!T12)/Datos!T12,(Datos!J12+Datos!Z12-(Datos!T12+Datos!AH12))/(Datos!T12+Datos!AH12))
     ),IF(J_V="SI",(Datos!J12-Datos!T12)/Datos!T12,(Datos!J12+Datos!Z12-(Datos!T12+Datos!AH12))/(Datos!T12+Datos!AH12))," - ")</f>
        <v>-0.42962281508739653</v>
      </c>
      <c r="D12" s="455">
        <f>IF(ISNUMBER(
   IF(J_V="SI",(Datos!K12-Datos!U12)/Datos!U12,(Datos!K12+Datos!AA12-(Datos!U12+Datos!AI12))/(Datos!U12+Datos!AI12))
     ),IF(J_V="SI",(Datos!K12-Datos!U12)/Datos!U12,(Datos!K12+Datos!AA12-(Datos!U12+Datos!AI12))/(Datos!U12+Datos!AI12))," - ")</f>
        <v>-5.0642479213907785E-2</v>
      </c>
      <c r="E12" s="455">
        <f>IF(ISNUMBER(
   IF(J_V="SI",(Datos!L12-Datos!V12)/Datos!V12,(Datos!L12+Datos!AB12-(Datos!V12+Datos!AJ12))/(Datos!V12+Datos!AJ12))
     ),IF(J_V="SI",(Datos!L12-Datos!V12)/Datos!V12,(Datos!L12+Datos!AB12-(Datos!V12+Datos!AJ12))/(Datos!V12+Datos!AJ12))," - ")</f>
        <v>-0.30830524057615694</v>
      </c>
      <c r="F12" s="455">
        <f>IF(ISNUMBER((Datos!M12-Datos!W12)/Datos!W12),(Datos!M12-Datos!W12)/Datos!W12," - ")</f>
        <v>0.2929936305732484</v>
      </c>
      <c r="G12" s="456">
        <f>IF(ISNUMBER((Datos!N12-Datos!X12)/Datos!X12),(Datos!N12-Datos!X12)/Datos!X12," - ")</f>
        <v>-3.3687943262411348E-2</v>
      </c>
      <c r="H12" s="454">
        <f>IF(ISNUMBER(((NºAsuntos!G12/NºAsuntos!E12)-Datos!BD12)/Datos!BD12),((NºAsuntos!G12/NºAsuntos!E12)-Datos!BD12)/Datos!BD12," - ")</f>
        <v>0.66443810499110045</v>
      </c>
      <c r="I12" s="455">
        <f>IF(ISNUMBER(((NºAsuntos!I12/NºAsuntos!G12)-Datos!BE12)/Datos!BE12),((NºAsuntos!I12/NºAsuntos!G12)-Datos!BE12)/Datos!BE12," - ")</f>
        <v>-0.27140751057504425</v>
      </c>
      <c r="J12" s="460">
        <f>IF(ISNUMBER((('Resol  Asuntos'!D12/NºAsuntos!G12)-Datos!BF12)/Datos!BF12),(('Resol  Asuntos'!D12/NºAsuntos!G12)-Datos!BF12)/Datos!BF12," - ")</f>
        <v>-0.24174176717712428</v>
      </c>
      <c r="K12" s="461">
        <f>IF(ISNUMBER((((NºAsuntos!C12+NºAsuntos!E12)/NºAsuntos!G12)-Datos!BG12)/Datos!BG12),(((NºAsuntos!C12+NºAsuntos!E12)/NºAsuntos!G12)-Datos!BG12)/Datos!BG12," - ")</f>
        <v>-0.19311005386096144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-6.146864686468647E-2</v>
      </c>
      <c r="C13" s="852">
        <f>IF(ISNUMBER(
   IF(J_V="SI",(Datos!J13-Datos!T13)/Datos!T13,(Datos!J13+Datos!Z13-(Datos!T13+Datos!AH13))/(Datos!T13+Datos!AH13))
     ),IF(J_V="SI",(Datos!J13-Datos!T13)/Datos!T13,(Datos!J13+Datos!Z13-(Datos!T13+Datos!AH13))/(Datos!T13+Datos!AH13))," - ")</f>
        <v>-0.42962281508739653</v>
      </c>
      <c r="D13" s="852">
        <f>IF(ISNUMBER(
   IF(J_V="SI",(Datos!K13-Datos!U13)/Datos!U13,(Datos!K13+Datos!AA13-(Datos!U13+Datos!AI13))/(Datos!U13+Datos!AI13))
     ),IF(J_V="SI",(Datos!K13-Datos!U13)/Datos!U13,(Datos!K13+Datos!AA13-(Datos!U13+Datos!AI13))/(Datos!U13+Datos!AI13))," - ")</f>
        <v>-5.4928517682468023E-2</v>
      </c>
      <c r="E13" s="852">
        <f>IF(ISNUMBER(
   IF(J_V="SI",(Datos!L13-Datos!V13)/Datos!V13,(Datos!L13+Datos!AB13-(Datos!V13+Datos!AJ13))/(Datos!V13+Datos!AJ13))
     ),IF(J_V="SI",(Datos!L13-Datos!V13)/Datos!V13,(Datos!L13+Datos!AB13-(Datos!V13+Datos!AJ13))/(Datos!V13+Datos!AJ13))," - ")</f>
        <v>-0.30896298562251451</v>
      </c>
      <c r="F13" s="853">
        <f>IF(ISNUMBER((Datos!M13-Datos!W13)/Datos!W13),(Datos!M13-Datos!W13)/Datos!W13," - ")</f>
        <v>0.26874999999999999</v>
      </c>
      <c r="G13" s="854">
        <f>IF(ISNUMBER((Datos!N13-Datos!X13)/Datos!X13),(Datos!N13-Datos!X13)/Datos!X13," - ")</f>
        <v>-3.3687943262411348E-2</v>
      </c>
      <c r="H13" s="854">
        <f>IF(ISNUMBER(((NºAsuntos!G13/NºAsuntos!E13)-Datos!BD13)/Datos!BD13),((NºAsuntos!G13/NºAsuntos!E13)-Datos!BD13)/Datos!BD13," - ")</f>
        <v>0.65692371174057618</v>
      </c>
      <c r="I13" s="854">
        <f>IF(ISNUMBER(((NºAsuntos!I13/NºAsuntos!G13)-Datos!BE13)/Datos!BE13),((NºAsuntos!I13/NºAsuntos!G13)-Datos!BE13)/Datos!BE13," - ")</f>
        <v>-0.26879921010535179</v>
      </c>
      <c r="J13" s="854">
        <f>IF(ISNUMBER((('Resol  Asuntos'!D13/NºAsuntos!G13)-Datos!BF13)/Datos!BF13),(('Resol  Asuntos'!D13/NºAsuntos!G13)-Datos!BF13)/Datos!BF13," - ")</f>
        <v>-0.24632081796848815</v>
      </c>
      <c r="K13" s="854">
        <f>IF(ISNUMBER((((NºAsuntos!C13+NºAsuntos!E13)/NºAsuntos!G13)-Datos!BG13)/Datos!BG13),(((NºAsuntos!C13+NºAsuntos!E13)/NºAsuntos!G13)-Datos!BG13)/Datos!BG13," - ")</f>
        <v>-0.1911058324998684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0.72549019607843135</v>
      </c>
      <c r="C17" s="455">
        <f>IF(ISNUMBER(
   IF(D_I="SI",(Datos!J17-Datos!T17)/Datos!T17,(Datos!J17+Datos!AD17-(Datos!T17+Datos!AL17))/(Datos!T17+Datos!AL17))
     ),IF(D_I="SI",(Datos!J17-Datos!T17)/Datos!T17,(Datos!J17+Datos!AD17-(Datos!T17+Datos!AL17))/(Datos!T17+Datos!AL17))," - ")</f>
        <v>0.29372496662216291</v>
      </c>
      <c r="D17" s="455">
        <f>IF(ISNUMBER(
   IF(D_I="SI",(Datos!K17-Datos!U17)/Datos!U17,(Datos!K17+Datos!AE17-(Datos!U17+Datos!AM17))/(Datos!U17+Datos!AM17))
     ),IF(D_I="SI",(Datos!K17-Datos!U17)/Datos!U17,(Datos!K17+Datos!AE17-(Datos!U17+Datos!AM17))/(Datos!U17+Datos!AM17))," - ")</f>
        <v>0.21525885558583105</v>
      </c>
      <c r="E17" s="455">
        <f>IF(ISNUMBER(
   IF(D_I="SI",(Datos!L17-Datos!V17)/Datos!V17,(Datos!L17+Datos!AF17-(Datos!V17+Datos!AN17))/(Datos!V17+Datos!AN17))
     ),IF(D_I="SI",(Datos!L17-Datos!V17)/Datos!V17,(Datos!L17+Datos!AF17-(Datos!V17+Datos!AN17))/(Datos!V17+Datos!AN17))," - ")</f>
        <v>0.75723270440251578</v>
      </c>
      <c r="F17" s="455">
        <f>IF(ISNUMBER((Datos!M17-Datos!W17)/Datos!W17),(Datos!M17-Datos!W17)/Datos!W17," - ")</f>
        <v>-7.575757575757576E-2</v>
      </c>
      <c r="G17" s="456">
        <f>IF(ISNUMBER((Datos!N17-Datos!X17)/Datos!X17),(Datos!N17-Datos!X17)/Datos!X17," - ")</f>
        <v>0.27394209354120269</v>
      </c>
      <c r="H17" s="454">
        <f>IF(ISNUMBER(((NºAsuntos!G17/NºAsuntos!E17)-Datos!BD17)/Datos!BD17),((NºAsuntos!G17/NºAsuntos!E17)-Datos!BD17)/Datos!BD17," - ")</f>
        <v>-6.0651307705069671E-2</v>
      </c>
      <c r="I17" s="455">
        <f>IF(ISNUMBER(((NºAsuntos!I17/NºAsuntos!G17)-Datos!BE17)/Datos!BE17),((NºAsuntos!I17/NºAsuntos!G17)-Datos!BE17)/Datos!BE17," - ")</f>
        <v>0.44597399667202525</v>
      </c>
      <c r="J17" s="460">
        <f>IF(ISNUMBER((('Resol  Asuntos'!D17/NºAsuntos!G17)-Datos!BF17)/Datos!BF17),(('Resol  Asuntos'!D17/NºAsuntos!G17)-Datos!BF17)/Datos!BF17," - ")</f>
        <v>-0.23946867780948491</v>
      </c>
      <c r="K17" s="461">
        <f>IF(ISNUMBER((((NºAsuntos!C17+NºAsuntos!E17)/NºAsuntos!G17)-Datos!BG17)/Datos!BG17),(((NºAsuntos!C17+NºAsuntos!E17)/NºAsuntos!G17)-Datos!BG17)/Datos!BG17," - ")</f>
        <v>0.24408806298167784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-0.88888888888888884</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f>IF(ISNUMBER(((NºAsuntos!I18/NºAsuntos!G18)-Datos!BE18)/Datos!BE18),((NºAsuntos!I18/NºAsuntos!G18)-Datos!BE18)/Datos!BE18," - ")</f>
        <v>-1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-0.30769230769230765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0.70451612903225802</v>
      </c>
      <c r="C19" s="852">
        <f>IF(ISNUMBER(
   IF(Criterios!B14="SI",(Datos!J19-Datos!T19)/Datos!T19,(Datos!J19+Datos!AD19-(Datos!T19+Datos!AL19))/(Datos!T19+Datos!AL19))
     ),IF(Criterios!B14="SI",(Datos!J19-Datos!T19)/Datos!T19,(Datos!J19+Datos!AD19-(Datos!T19+Datos!AL19))/(Datos!T19+Datos!AL19))," - ")</f>
        <v>0.28856382978723405</v>
      </c>
      <c r="D19" s="852">
        <f>IF(ISNUMBER(
   IF(Criterios!B14="SI",(Datos!K19-Datos!U19)/Datos!U19,(Datos!K19+Datos!AE19-(Datos!U19+Datos!AM19))/(Datos!U19+Datos!AM19))
     ),IF(Criterios!B14="SI",(Datos!K19-Datos!U19)/Datos!U19,(Datos!K19+Datos!AE19-(Datos!U19+Datos!AM19))/(Datos!U19+Datos!AM19))," - ")</f>
        <v>0.20188425302826379</v>
      </c>
      <c r="E19" s="852">
        <f>IF(ISNUMBER(
   IF(Criterios!B14="SI",(Datos!L19-Datos!V19)/Datos!V19,(Datos!L19+Datos!AF19-(Datos!V19+Datos!AN19))/(Datos!V19+Datos!AN19))
     ),IF(Criterios!B14="SI",(Datos!L19-Datos!V19)/Datos!V19,(Datos!L19+Datos!AF19-(Datos!V19+Datos!AN19))/(Datos!V19+Datos!AN19))," - ")</f>
        <v>0.74843554443053817</v>
      </c>
      <c r="F19" s="853">
        <f>IF(ISNUMBER((Datos!M19-Datos!W19)/Datos!W19),(Datos!M19-Datos!W19)/Datos!W19," - ")</f>
        <v>-7.575757575757576E-2</v>
      </c>
      <c r="G19" s="854">
        <f>IF(ISNUMBER((Datos!N19-Datos!X19)/Datos!X19),(Datos!N19-Datos!X19)/Datos!X19," - ")</f>
        <v>0.27394209354120269</v>
      </c>
      <c r="H19" s="854">
        <f>IF(ISNUMBER(((NºAsuntos!G19/NºAsuntos!E19)-Datos!BD19)/Datos!BD19),((NºAsuntos!G19/NºAsuntos!E19)-Datos!BD19)/Datos!BD19," - ")</f>
        <v>-6.7268360910986202E-2</v>
      </c>
      <c r="I19" s="854">
        <f>IF(ISNUMBER(((NºAsuntos!I19/NºAsuntos!G19)-Datos!BE19)/Datos!BE19),((NºAsuntos!I19/NºAsuntos!G19)-Datos!BE19)/Datos!BE19," - ")</f>
        <v>0.45474536339517346</v>
      </c>
      <c r="J19" s="854">
        <f>IF(ISNUMBER((('Resol  Asuntos'!D19/NºAsuntos!G19)-Datos!BF19)/Datos!BF19),(('Resol  Asuntos'!D19/NºAsuntos!G19)-Datos!BF19)/Datos!BF19," - ")</f>
        <v>-0.23100546336828542</v>
      </c>
      <c r="K19" s="854">
        <f>IF(ISNUMBER((((NºAsuntos!C19+NºAsuntos!E19)/NºAsuntos!G19)-Datos!BG19)/Datos!BG19),(((NºAsuntos!C19+NºAsuntos!E19)/NºAsuntos!G19)-Datos!BG19)/Datos!BG19," - ")</f>
        <v>0.24776787514914447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0.12410128165051579</v>
      </c>
      <c r="C20" s="799">
        <f>IF(ISNUMBER(
   IF(J_V="SI",(Datos!J20-Datos!T20)/Datos!T20,(Datos!J20+Datos!Z20-(Datos!T20+Datos!AH20))/(Datos!T20+Datos!AH20))
     ),IF(J_V="SI",(Datos!J20-Datos!T20)/Datos!T20,(Datos!J20+Datos!Z20-(Datos!T20+Datos!AH20))/(Datos!T20+Datos!AH20))," - ")</f>
        <v>-0.24504442925495556</v>
      </c>
      <c r="D20" s="799">
        <f>IF(ISNUMBER(
   IF(J_V="SI",(Datos!K20-Datos!U20)/Datos!U20,(Datos!K20+Datos!AA20-(Datos!U20+Datos!AI20))/(Datos!U20+Datos!AI20))
     ),IF(J_V="SI",(Datos!K20-Datos!U20)/Datos!U20,(Datos!K20+Datos!AA20-(Datos!U20+Datos!AI20))/(Datos!U20+Datos!AI20))," - ")</f>
        <v>3.7162162162162164E-2</v>
      </c>
      <c r="E20" s="799">
        <f>IF(ISNUMBER(
   IF(J_V="SI",(Datos!L20-Datos!V20)/Datos!V20,(Datos!L20+Datos!AB20-(Datos!V20+Datos!AJ20))/(Datos!V20+Datos!AJ20))
     ),IF(J_V="SI",(Datos!L20-Datos!V20)/Datos!V20,(Datos!L20+Datos!AB20-(Datos!V20+Datos!AJ20))/(Datos!V20+Datos!AJ20))," - ")</f>
        <v>-0.10127826941986234</v>
      </c>
      <c r="F20" s="800">
        <f>IF(ISNUMBER((Datos!M20-Datos!W20)/Datos!W20),(Datos!M20-Datos!W20)/Datos!W20," - ")</f>
        <v>0.16814159292035399</v>
      </c>
      <c r="G20" s="801">
        <f>IF(ISNUMBER((Datos!N20-Datos!X20)/Datos!X20),(Datos!N20-Datos!X20)/Datos!X20," - ")</f>
        <v>0.10266535044422508</v>
      </c>
      <c r="H20" s="802">
        <f>IF(ISNUMBER((Tasas!B20-Datos!BD20)/Datos!BD20),(Tasas!B20-Datos!BD20)/Datos!BD20," - ")</f>
        <v>0.37380556201289561</v>
      </c>
      <c r="I20" s="803">
        <f>IF(ISNUMBER((Tasas!C20-Datos!BE20)/Datos!BE20),(Tasas!C20-Datos!BE20)/Datos!BE20," - ")</f>
        <v>-0.13348002523869468</v>
      </c>
      <c r="J20" s="804">
        <f>IF(ISNUMBER((Tasas!D20-Datos!BF20)/Datos!BF20),(Tasas!D20-Datos!BF20)/Datos!BF20," - ")</f>
        <v>-0.27481277318410868</v>
      </c>
      <c r="K20" s="804">
        <f>IF(ISNUMBER((Tasas!E20-Datos!BG20)/Datos!BG20),(Tasas!E20-Datos!BG20)/Datos!BG20," - ")</f>
        <v>-8.6203549823838307E-2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9LTKxiWibpxS3fcWujMS3+p2iPY5EPFpiF3eaJJ0tRJ1tiLHzJP8ZZVLYtYcSKRXk/vVZY2Y5rq3e/vfEQDzw==" saltValue="PGuO5PxkH1gpBGvCcxWbb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MISLATA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1.0129032258064516</v>
      </c>
      <c r="C12" s="442">
        <f>IF(ISNUMBER(NºAsuntos!I12/NºAsuntos!G12),NºAsuntos!I12/NºAsuntos!G12," - ")</f>
        <v>1.7969745222929936</v>
      </c>
      <c r="D12" s="443">
        <f>IF(ISNUMBER('Resol  Asuntos'!D12/NºAsuntos!G12),'Resol  Asuntos'!D12/NºAsuntos!G12," - ")</f>
        <v>0.32324840764331209</v>
      </c>
      <c r="E12" s="444">
        <f>IF(ISNUMBER((NºAsuntos!C12+NºAsuntos!E12)/NºAsuntos!G12),(NºAsuntos!C12+NºAsuntos!E12)/NºAsuntos!G12," - ")</f>
        <v>2.7969745222929938</v>
      </c>
      <c r="G12" s="462"/>
    </row>
    <row r="13" spans="1:7" ht="14.25" thickTop="1" thickBot="1">
      <c r="A13" s="845" t="str">
        <f>Datos!A13</f>
        <v>TOTAL</v>
      </c>
      <c r="B13" s="855">
        <f>IF(ISNUMBER(NºAsuntos!G13/NºAsuntos!E13),NºAsuntos!G13/NºAsuntos!E13," - ")</f>
        <v>1.0129032258064516</v>
      </c>
      <c r="C13" s="856">
        <f>IF(ISNUMBER(NºAsuntos!I13/NºAsuntos!G13),NºAsuntos!I13/NºAsuntos!G13," - ")</f>
        <v>1.7985668789808917</v>
      </c>
      <c r="D13" s="857">
        <f>IF(ISNUMBER('Resol  Asuntos'!D13/NºAsuntos!G13),'Resol  Asuntos'!D13/NºAsuntos!G13," - ")</f>
        <v>0.32324840764331209</v>
      </c>
      <c r="E13" s="858">
        <f>IF(ISNUMBER((NºAsuntos!C13+NºAsuntos!E13)/NºAsuntos!G13),(NºAsuntos!C13+NºAsuntos!E13)/NºAsuntos!G13," - ")</f>
        <v>2.7985668789808917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0.92053663570691435</v>
      </c>
      <c r="C17" s="442">
        <f>IF(ISNUMBER(NºAsuntos!I17/NºAsuntos!G17),NºAsuntos!I17/NºAsuntos!G17," - ")</f>
        <v>1.5661434977578474</v>
      </c>
      <c r="D17" s="443">
        <f>IF(ISNUMBER('Resol  Asuntos'!D17/NºAsuntos!G17),'Resol  Asuntos'!D17/NºAsuntos!G17," - ")</f>
        <v>0.1367713004484305</v>
      </c>
      <c r="E17" s="444">
        <f>IF(ISNUMBER((NºAsuntos!C17+NºAsuntos!E17)/NºAsuntos!G17),(NºAsuntos!C17+NºAsuntos!E17)/NºAsuntos!G17," - ")</f>
        <v>2.5661434977578477</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0.92156862745098034</v>
      </c>
      <c r="C19" s="856">
        <f>IF(ISNUMBER(NºAsuntos!I19/NºAsuntos!G19),NºAsuntos!I19/NºAsuntos!G19," - ")</f>
        <v>1.5643896976483762</v>
      </c>
      <c r="D19" s="859">
        <f>IF(ISNUMBER('Resol  Asuntos'!D19/NºAsuntos!G19),'Resol  Asuntos'!D19/NºAsuntos!G19," - ")</f>
        <v>0.1366181410974244</v>
      </c>
      <c r="E19" s="858">
        <f>IF(ISNUMBER((NºAsuntos!C19+NºAsuntos!E19)/NºAsuntos!G19),(NºAsuntos!C19+NºAsuntos!E19)/NºAsuntos!G19," - ")</f>
        <v>2.5643896976483762</v>
      </c>
      <c r="G19" s="462"/>
    </row>
    <row r="20" spans="1:7" ht="15.75" customHeight="1" thickTop="1" thickBot="1">
      <c r="A20" s="790" t="str">
        <f>Datos!A20</f>
        <v>TOTAL JURISDICCIONES</v>
      </c>
      <c r="B20" s="805">
        <f>IF(ISNUMBER(NºAsuntos!G20/NºAsuntos!E20),NºAsuntos!G20/NºAsuntos!E20," - ")</f>
        <v>0.97283838841104575</v>
      </c>
      <c r="C20" s="806">
        <f>IF(ISNUMBER(NºAsuntos!I20/NºAsuntos!G20),NºAsuntos!I20/NºAsuntos!G20," - ")</f>
        <v>1.7012563983248021</v>
      </c>
      <c r="D20" s="807">
        <f>IF(ISNUMBER('Resol  Asuntos'!D20/NºAsuntos!G20),'Resol  Asuntos'!D20/NºAsuntos!G20," - ")</f>
        <v>0.24569567240577012</v>
      </c>
      <c r="E20" s="808">
        <f>IF(ISNUMBER((NºAsuntos!C20+NºAsuntos!E20)/NºAsuntos!G20),(NºAsuntos!C20+NºAsuntos!E20)/NºAsuntos!G20," - ")</f>
        <v>2.7012563983248024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Zf8r1nO5Ep3x580tTXmJvndUH4ky+GsW/o9uC9/W8zGI+VvdRbZR7tnLR3QT2j1pZKQmLpgg6vLK+YBnk+IyhQ==" saltValue="tvHnFtYyrdZqjfEWtPZ5f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MISLATA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4</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406</v>
      </c>
      <c r="AJ12" s="228" t="str">
        <f>IF(ISNUMBER(Datos!BW12),Datos!BW12," - ")</f>
        <v xml:space="preserve"> - </v>
      </c>
      <c r="AK12" s="227" t="str">
        <f>IF(ISNUMBER(Datos!BX12),Datos!BX12," - ")</f>
        <v xml:space="preserve"> - </v>
      </c>
      <c r="AL12" s="242">
        <f>IF(ISNUMBER(NºAsuntos!G12/NºAsuntos!E12),NºAsuntos!G12/NºAsuntos!E12," - ")</f>
        <v>1.0129032258064516</v>
      </c>
      <c r="AM12" s="259">
        <f>IF(ISNUMBER(((NºAsuntos!I12/NºAsuntos!G12)*11)/factor_trimestre),((NºAsuntos!I12/NºAsuntos!G12)*11)/factor_trimestre," - ")</f>
        <v>5.390923566878981</v>
      </c>
      <c r="AN12" s="243">
        <f>IF(ISNUMBER('Resol  Asuntos'!D12/NºAsuntos!G12),'Resol  Asuntos'!D12/NºAsuntos!G12," - ")</f>
        <v>0.32324840764331209</v>
      </c>
      <c r="AO12" s="244">
        <f>IF(ISNUMBER((NºAsuntos!C12+NºAsuntos!E12)/NºAsuntos!G12),(NºAsuntos!C12+NºAsuntos!E12)/NºAsuntos!G12," - ")</f>
        <v>2.7969745222929938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2</v>
      </c>
      <c r="G13" s="863">
        <f t="shared" si="3"/>
        <v>2</v>
      </c>
      <c r="H13" s="862">
        <f t="shared" si="3"/>
        <v>0</v>
      </c>
      <c r="I13" s="864">
        <f t="shared" si="3"/>
        <v>0</v>
      </c>
      <c r="J13" s="864">
        <f t="shared" si="3"/>
        <v>0</v>
      </c>
      <c r="K13" s="864">
        <f t="shared" si="3"/>
        <v>0</v>
      </c>
      <c r="L13" s="864">
        <f t="shared" si="3"/>
        <v>192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169</v>
      </c>
      <c r="Y13" s="865">
        <f t="shared" si="4"/>
        <v>169</v>
      </c>
      <c r="Z13" s="865">
        <f t="shared" si="4"/>
        <v>0</v>
      </c>
      <c r="AA13" s="865">
        <f t="shared" si="4"/>
        <v>2</v>
      </c>
      <c r="AB13" s="865">
        <f t="shared" si="4"/>
        <v>4755</v>
      </c>
      <c r="AC13" s="865">
        <f t="shared" si="4"/>
        <v>6</v>
      </c>
      <c r="AD13" s="865">
        <f t="shared" si="4"/>
        <v>0</v>
      </c>
      <c r="AE13" s="869">
        <f t="shared" si="4"/>
        <v>0</v>
      </c>
      <c r="AF13" s="862">
        <f t="shared" si="4"/>
        <v>0</v>
      </c>
      <c r="AG13" s="870">
        <f t="shared" si="4"/>
        <v>0</v>
      </c>
      <c r="AH13" s="867">
        <f t="shared" si="4"/>
        <v>0</v>
      </c>
      <c r="AI13" s="862">
        <f t="shared" si="4"/>
        <v>406</v>
      </c>
      <c r="AJ13" s="864">
        <f t="shared" si="4"/>
        <v>0</v>
      </c>
      <c r="AK13" s="867">
        <f>SUBTOTAL(9,AK9:AK12)</f>
        <v>0</v>
      </c>
      <c r="AL13" s="871">
        <f>IF(ISNUMBER(NºAsuntos!G13/NºAsuntos!E13),NºAsuntos!G13/NºAsuntos!E13," - ")</f>
        <v>1.0129032258064516</v>
      </c>
      <c r="AM13" s="871">
        <f>IF(ISNUMBER(((NºAsuntos!I13/NºAsuntos!G13)*11)/factor_trimestre),((NºAsuntos!I13/NºAsuntos!G13)*11)/factor_trimestre," - ")</f>
        <v>5.3957006369426752</v>
      </c>
      <c r="AN13" s="872">
        <f>IF(ISNUMBER('Resol  Asuntos'!D13/NºAsuntos!G13),'Resol  Asuntos'!D13/NºAsuntos!G13," - ")</f>
        <v>0.32324840764331209</v>
      </c>
      <c r="AO13" s="873">
        <f>IF(ISNUMBER((NºAsuntos!C13+NºAsuntos!E13)/NºAsuntos!G13),(NºAsuntos!C13+NºAsuntos!E13)/NºAsuntos!G13," - ")</f>
        <v>2.7985668789808917</v>
      </c>
      <c r="AP13" s="874" t="str">
        <f t="shared" si="2"/>
        <v xml:space="preserve"> - </v>
      </c>
      <c r="AQ13" s="874">
        <f>IF(ISNUMBER((H13-W13+K13)/(F13)),(H13-W13+K13)/(F13)," - ")</f>
        <v>0</v>
      </c>
      <c r="AR13" s="875">
        <f>IF(ISNUMBER((Datos!P13-Datos!Q13)/(Datos!R13-Datos!P13+Datos!Q13)),(Datos!P13-Datos!Q13)/(Datos!R13-Datos!P13+Datos!Q13)," - ")</f>
        <v>4.8605240912933225E-3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1320</v>
      </c>
      <c r="G17" s="332">
        <f>IF(ISNUMBER(IF(D_I="SI",Datos!I17,Datos!I17+Datos!AC17)),IF(D_I="SI",Datos!I17,Datos!I17+Datos!AC17)," - ")</f>
        <v>1320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892</v>
      </c>
      <c r="X17" s="225">
        <f>IF(ISNUMBER(Datos!Q17),Datos!Q17," - ")</f>
        <v>10</v>
      </c>
      <c r="Y17" s="333">
        <f t="shared" ref="Y17:Y18" si="9">SUM(W17:X17)</f>
        <v>902</v>
      </c>
      <c r="Z17" s="334" t="str">
        <f>IF(ISNUMBER(Datos!CC17),Datos!CC17," - ")</f>
        <v xml:space="preserve"> - </v>
      </c>
      <c r="AA17" s="331">
        <f>IF(ISNUMBER(IF(D_I="SI",Datos!L17,Datos!L17+Datos!AF17)),IF(D_I="SI",Datos!L17,Datos!L17+Datos!AF17)," - ")</f>
        <v>1397</v>
      </c>
      <c r="AB17" s="333">
        <f>IF(ISNUMBER(Datos!R17),Datos!R17," - ")</f>
        <v>216</v>
      </c>
      <c r="AC17" s="333">
        <f t="shared" si="6"/>
        <v>1613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122</v>
      </c>
      <c r="AJ17" s="230" t="str">
        <f>IF(ISNUMBER(Datos!BW17),Datos!BW17," - ")</f>
        <v xml:space="preserve"> - </v>
      </c>
      <c r="AK17" s="231" t="str">
        <f>IF(ISNUMBER(Datos!BX17),Datos!BX17," - ")</f>
        <v xml:space="preserve"> - </v>
      </c>
      <c r="AL17" s="242">
        <f>IF(ISNUMBER(NºAsuntos!G17/NºAsuntos!E17),NºAsuntos!G17/NºAsuntos!E17," - ")</f>
        <v>0.92053663570691435</v>
      </c>
      <c r="AM17" s="259">
        <f>IF(ISNUMBER(((NºAsuntos!I17/NºAsuntos!G17)*11)/factor_trimestre),((NºAsuntos!I17/NºAsuntos!G17)*11)/factor_trimestre," - ")</f>
        <v>4.698430493273543</v>
      </c>
      <c r="AN17" s="243">
        <f>IF(ISNUMBER('Resol  Asuntos'!D17/NºAsuntos!G17),'Resol  Asuntos'!D17/NºAsuntos!G17," - ")</f>
        <v>0.1367713004484305</v>
      </c>
      <c r="AO17" s="244">
        <f>IF(ISNUMBER((NºAsuntos!C17+NºAsuntos!E17)/NºAsuntos!G17),(NºAsuntos!C17+NºAsuntos!E17)/NºAsuntos!G17," - ")</f>
        <v>2.5661434977578477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1320</v>
      </c>
      <c r="G19" s="863">
        <f>SUBTOTAL(9,G15:G18)</f>
        <v>1321</v>
      </c>
      <c r="H19" s="862">
        <f t="shared" ref="H19:O19" si="12">SUBTOTAL(9,H14:H18)</f>
        <v>0</v>
      </c>
      <c r="I19" s="864">
        <f t="shared" si="12"/>
        <v>0</v>
      </c>
      <c r="J19" s="864">
        <f t="shared" si="12"/>
        <v>0</v>
      </c>
      <c r="K19" s="864">
        <f t="shared" si="12"/>
        <v>0</v>
      </c>
      <c r="L19" s="864">
        <f t="shared" si="12"/>
        <v>29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893</v>
      </c>
      <c r="X19" s="864">
        <f t="shared" si="13"/>
        <v>10</v>
      </c>
      <c r="Y19" s="865">
        <f t="shared" si="13"/>
        <v>903</v>
      </c>
      <c r="Z19" s="865">
        <f t="shared" si="13"/>
        <v>0</v>
      </c>
      <c r="AA19" s="865">
        <f t="shared" si="13"/>
        <v>1397</v>
      </c>
      <c r="AB19" s="865">
        <f t="shared" si="13"/>
        <v>216</v>
      </c>
      <c r="AC19" s="865">
        <f t="shared" si="13"/>
        <v>1613</v>
      </c>
      <c r="AD19" s="865">
        <f t="shared" si="13"/>
        <v>0</v>
      </c>
      <c r="AE19" s="869">
        <f t="shared" si="13"/>
        <v>0</v>
      </c>
      <c r="AF19" s="862">
        <f t="shared" si="13"/>
        <v>0</v>
      </c>
      <c r="AG19" s="870">
        <f t="shared" si="13"/>
        <v>0</v>
      </c>
      <c r="AH19" s="867">
        <f t="shared" si="13"/>
        <v>0</v>
      </c>
      <c r="AI19" s="862">
        <f t="shared" si="13"/>
        <v>122</v>
      </c>
      <c r="AJ19" s="864">
        <f t="shared" si="13"/>
        <v>0</v>
      </c>
      <c r="AK19" s="867">
        <f t="shared" si="13"/>
        <v>0</v>
      </c>
      <c r="AL19" s="871">
        <f>IF(ISNUMBER(NºAsuntos!G19/NºAsuntos!E19),NºAsuntos!G19/NºAsuntos!E19," - ")</f>
        <v>0.92156862745098034</v>
      </c>
      <c r="AM19" s="871">
        <f>IF(ISNUMBER(((NºAsuntos!I19/NºAsuntos!G19)*11)/factor_trimestre),((NºAsuntos!I19/NºAsuntos!G19)*11)/factor_trimestre," - ")</f>
        <v>4.6931690929451291</v>
      </c>
      <c r="AN19" s="872">
        <f>IF(ISNUMBER('Resol  Asuntos'!D19/NºAsuntos!G19),'Resol  Asuntos'!D19/NºAsuntos!G19," - ")</f>
        <v>0.1366181410974244</v>
      </c>
      <c r="AO19" s="873">
        <f>IF(ISNUMBER((NºAsuntos!C19+NºAsuntos!E19)/NºAsuntos!G19),(NºAsuntos!C19+NºAsuntos!E19)/NºAsuntos!G19," - ")</f>
        <v>2.5643896976483762</v>
      </c>
      <c r="AP19" s="874" t="str">
        <f t="shared" si="2"/>
        <v xml:space="preserve"> - </v>
      </c>
      <c r="AQ19" s="874">
        <f>IF(ISNUMBER((H19-W19+K19)/(F19)),(H19-W19+K19)/(F19)," - ")</f>
        <v>-0.67651515151515151</v>
      </c>
      <c r="AR19" s="875">
        <f>IF(ISNUMBER((Datos!P19-Datos!Q19)/(Datos!R19-Datos!P19+Datos!Q19)),(Datos!P19-Datos!Q19)/(Datos!R19-Datos!P19+Datos!Q19)," - ")</f>
        <v>9.6446700507614211E-2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1322</v>
      </c>
      <c r="G20" s="818">
        <f t="shared" si="15"/>
        <v>1323</v>
      </c>
      <c r="H20" s="817">
        <f t="shared" si="15"/>
        <v>0</v>
      </c>
      <c r="I20" s="819">
        <f t="shared" si="15"/>
        <v>0</v>
      </c>
      <c r="J20" s="819">
        <f t="shared" si="15"/>
        <v>0</v>
      </c>
      <c r="K20" s="878">
        <f t="shared" si="15"/>
        <v>0</v>
      </c>
      <c r="L20" s="819">
        <f t="shared" si="15"/>
        <v>221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893</v>
      </c>
      <c r="X20" s="818">
        <f t="shared" si="16"/>
        <v>179</v>
      </c>
      <c r="Y20" s="825">
        <f t="shared" si="16"/>
        <v>1072</v>
      </c>
      <c r="Z20" s="825">
        <f t="shared" si="16"/>
        <v>0</v>
      </c>
      <c r="AA20" s="825">
        <f t="shared" si="16"/>
        <v>1399</v>
      </c>
      <c r="AB20" s="825">
        <f t="shared" si="16"/>
        <v>4971</v>
      </c>
      <c r="AC20" s="825">
        <f t="shared" si="16"/>
        <v>1619</v>
      </c>
      <c r="AD20" s="825">
        <f t="shared" si="16"/>
        <v>0</v>
      </c>
      <c r="AE20" s="827">
        <f t="shared" si="16"/>
        <v>0</v>
      </c>
      <c r="AF20" s="828">
        <f t="shared" si="16"/>
        <v>0</v>
      </c>
      <c r="AG20" s="829">
        <f t="shared" si="16"/>
        <v>0</v>
      </c>
      <c r="AH20" s="827">
        <f t="shared" si="16"/>
        <v>0</v>
      </c>
      <c r="AI20" s="817">
        <f t="shared" si="16"/>
        <v>528</v>
      </c>
      <c r="AJ20" s="817">
        <f t="shared" si="16"/>
        <v>0</v>
      </c>
      <c r="AK20" s="827">
        <f t="shared" si="16"/>
        <v>0</v>
      </c>
      <c r="AL20" s="881">
        <f>IF(ISNUMBER(NºAsuntos!G20/NºAsuntos!E20),NºAsuntos!G20/NºAsuntos!E20," - ")</f>
        <v>0.97283838841104575</v>
      </c>
      <c r="AM20" s="882">
        <f>IF(ISNUMBER(((NºAsuntos!I20/NºAsuntos!G20)*11)/factor_trimestre),((NºAsuntos!I20/NºAsuntos!G20)*11)/factor_trimestre," - ")</f>
        <v>5.1037691949744062</v>
      </c>
      <c r="AN20" s="882">
        <f>IF(ISNUMBER('Resol  Asuntos'!D20/NºAsuntos!G20),'Resol  Asuntos'!D20/NºAsuntos!G20," - ")</f>
        <v>0.24569567240577012</v>
      </c>
      <c r="AO20" s="883">
        <f>IF(ISNUMBER((NºAsuntos!C20+NºAsuntos!E20)/NºAsuntos!G20),(NºAsuntos!C20+NºAsuntos!E20)/NºAsuntos!G20," - ")</f>
        <v>2.7012563983248024</v>
      </c>
      <c r="AP20" s="884" t="str">
        <f t="shared" si="2"/>
        <v xml:space="preserve"> - </v>
      </c>
      <c r="AQ20" s="885">
        <f>IF(OR(ISNUMBER(FIND("01",Criterios!A8,1)),ISNUMBER(FIND("02",Criterios!A8,1)),ISNUMBER(FIND("03",Criterios!A8,1)),ISNUMBER(FIND("04",Criterios!A8,1))),(I20-W20+K20)/(F20-K20),(H20-W20+K20)/(F20-K20))</f>
        <v>-0.67549167927382758</v>
      </c>
      <c r="AR20" s="886">
        <f>IF(ISNUMBER((Datos!P20-Datos!Q20)/(Datos!R20-Datos!P20+Datos!Q20)),(Datos!P20-Datos!Q20)/(Datos!R20-Datos!P20+Datos!Q20)," - ")</f>
        <v>8.5209981740718196E-3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529.20000000000005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760.94765479192677</v>
      </c>
      <c r="G22" s="252">
        <f>IF(ISNUMBER(STDEV(G8:G19)),STDEV(G8:G19),"-")</f>
        <v>722.35496814239468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488.6601068227281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186.32444820795794</v>
      </c>
      <c r="AJ22" s="251">
        <f t="shared" si="20"/>
        <v>0</v>
      </c>
      <c r="AK22" s="253">
        <f t="shared" si="20"/>
        <v>0</v>
      </c>
      <c r="AL22" s="248">
        <f t="shared" si="20"/>
        <v>5.3031638869092589E-2</v>
      </c>
      <c r="AM22" s="249">
        <f t="shared" si="20"/>
        <v>2.2827934881600096</v>
      </c>
      <c r="AN22" s="249">
        <f t="shared" si="20"/>
        <v>0.13884508101593873</v>
      </c>
      <c r="AO22" s="250">
        <f t="shared" si="20"/>
        <v>0.76093116272000294</v>
      </c>
      <c r="AP22" s="290" t="str">
        <f t="shared" si="20"/>
        <v>-</v>
      </c>
      <c r="AQ22" s="291">
        <f t="shared" si="20"/>
        <v>0.47836845121180832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kJ2WUvPxMYwkjn8JSEIshZAe1mMmYLJr/bj6G6uPUedpROWYBrKxuaxfqMhUKLnnkuiZaOnDIGhoDAA6WJU/xA==" saltValue="yEn5fJuJyU0cDeZkiHtf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MISLATA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-0.83333333333333337</v>
      </c>
      <c r="E10" s="347" t="str">
        <f>IF(ISNUMBER((Datos!J10-Datos!T10)/Datos!T10),(Datos!J10-Datos!T10)/Datos!T10," - ")</f>
        <v xml:space="preserve"> - </v>
      </c>
      <c r="F10" s="347">
        <f>IF(ISNUMBER((Datos!K10-Datos!U10)/Datos!U10),(Datos!K10-Datos!U10)/Datos!U10," - ")</f>
        <v>-1</v>
      </c>
      <c r="G10" s="348">
        <f>IF(ISNUMBER((Datos!L10-Datos!V10)/Datos!V10),(Datos!L10-Datos!V10)/Datos!V10," - ")</f>
        <v>-0.66666666666666663</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0.2929936305732484</v>
      </c>
      <c r="I12" s="349">
        <f>IF(ISNUMBER((Tasas!C12-Datos!BE12)/Datos!BE12),(Tasas!C12-Datos!BE12)/Datos!BE12," - ")</f>
        <v>-0.27140751057504425</v>
      </c>
      <c r="J12" s="348">
        <f>IF(ISNUMBER((Tasas!D12-Datos!BF12)/Datos!BF12),(Tasas!D12-Datos!BF12)/Datos!BF12," - ")</f>
        <v>-0.24174176717712428</v>
      </c>
      <c r="K12" s="350">
        <f>IF(ISNUMBER((Tasas!E12-Datos!BG12)/Datos!BG12),(Tasas!E12-Datos!BG12)/Datos!BG12," - ")</f>
        <v>-0.19311005386096144</v>
      </c>
      <c r="M12" t="e">
        <f>IF(Monitorios="SI",Datos!CE12,0)</f>
        <v>#REF!</v>
      </c>
      <c r="N12" t="e">
        <f>IF(Monitorios="SI",Datos!CF12,0)</f>
        <v>#REF!</v>
      </c>
      <c r="O12" t="e">
        <f>IF(Monitorios="SI",Datos!CG12,0)</f>
        <v>#REF!</v>
      </c>
      <c r="P12" t="e">
        <f>IF(Monitorios="SI",Datos!CH12,0)</f>
        <v>#REF!</v>
      </c>
      <c r="Q12">
        <f>IF(J_V="SI",0,Datos!AG12)</f>
        <v>83</v>
      </c>
      <c r="R12">
        <f>IF(J_V="SI",0,Datos!AH12)</f>
        <v>60</v>
      </c>
      <c r="S12">
        <f>IF(J_V="SI",0,Datos!AI12)</f>
        <v>56</v>
      </c>
      <c r="T12">
        <f>IF(J_V="SI",0,Datos!AJ12)</f>
        <v>87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0.26874999999999999</v>
      </c>
      <c r="I13" s="356">
        <f>IF(ISNUMBER((Tasas!C13-Datos!BE13)/Datos!BE13),(Tasas!C13-Datos!BE13)/Datos!BE13," - ")</f>
        <v>-0.26879921010535179</v>
      </c>
      <c r="J13" s="354">
        <f>IF(ISNUMBER((Tasas!D13-Datos!BF13)/Datos!BF13),(Tasas!D13-Datos!BF13)/Datos!BF13," - ")</f>
        <v>-0.24632081796848815</v>
      </c>
      <c r="K13" s="357">
        <f>IF(ISNUMBER((Tasas!E13-Datos!BG13)/Datos!BG13),(Tasas!E13-Datos!BG13)/Datos!BG13," - ")</f>
        <v>-0.1911058324998684</v>
      </c>
      <c r="M13" t="e">
        <f>IF(Monitorios="SI",Datos!CE13,0)</f>
        <v>#REF!</v>
      </c>
      <c r="N13" t="e">
        <f>IF(Monitorios="SI",Datos!CF13,0)</f>
        <v>#REF!</v>
      </c>
      <c r="O13" t="e">
        <f>IF(Monitorios="SI",Datos!CG13,0)</f>
        <v>#REF!</v>
      </c>
      <c r="P13" t="e">
        <f>IF(Monitorios="SI",Datos!CH13,0)</f>
        <v>#REF!</v>
      </c>
      <c r="Q13">
        <f>IF(J_V="SI",0,Datos!AG13)</f>
        <v>83</v>
      </c>
      <c r="R13">
        <f>IF(J_V="SI",0,Datos!AH13)</f>
        <v>60</v>
      </c>
      <c r="S13">
        <f>IF(J_V="SI",0,Datos!AI13)</f>
        <v>56</v>
      </c>
      <c r="T13">
        <f>IF(J_V="SI",0,Datos!AJ13)</f>
        <v>87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0.72549019607843135</v>
      </c>
      <c r="E17" s="347">
        <f>IF(ISNUMBER(
   IF(D_I="SI",(Datos!J17-Datos!T17)/Datos!T17,(Datos!J17+Datos!AD17-(Datos!T17+Datos!AL17))/(Datos!T17+Datos!AL17))
     ),IF(D_I="SI",(Datos!J17-Datos!T17)/Datos!T17,(Datos!J17+Datos!AD17-(Datos!T17+Datos!AL17))/(Datos!T17+Datos!AL17))," - ")</f>
        <v>0.29372496662216291</v>
      </c>
      <c r="F17" s="347">
        <f>IF(ISNUMBER(
   IF(D_I="SI",(Datos!K17-Datos!U17)/Datos!U17,(Datos!K17+Datos!AE17-(Datos!U17+Datos!AM17))/(Datos!U17+Datos!AM17))
     ),IF(D_I="SI",(Datos!K17-Datos!U17)/Datos!U17,(Datos!K17+Datos!AE17-(Datos!U17+Datos!AM17))/(Datos!U17+Datos!AM17))," - ")</f>
        <v>0.21525885558583105</v>
      </c>
      <c r="G17" s="348">
        <f>IF(ISNUMBER(
   IF(D_I="SI",(Datos!L17-Datos!V17)/Datos!V17,(Datos!L17+Datos!AF17-(Datos!V17+Datos!AN17))/(Datos!V17+Datos!AN17))
     ),IF(D_I="SI",(Datos!L17-Datos!V17)/Datos!V17,(Datos!L17+Datos!AF17-(Datos!V17+Datos!AN17))/(Datos!V17+Datos!AN17))," - ")</f>
        <v>0.75723270440251578</v>
      </c>
      <c r="H17" s="229">
        <f>IF(ISNUMBER((Datos!M17-Datos!W17)/Datos!W17),(Datos!M17-Datos!W17)/Datos!W17," - ")</f>
        <v>-7.575757575757576E-2</v>
      </c>
      <c r="I17" s="349">
        <f>IF(ISNUMBER((Tasas!C17-Datos!BE17)/Datos!BE17),(Tasas!C17-Datos!BE17)/Datos!BE17," - ")</f>
        <v>0.44597399667202525</v>
      </c>
      <c r="J17" s="348">
        <f>IF(ISNUMBER((Tasas!D17-Datos!BF17)/Datos!BF17),(Tasas!D17-Datos!BF17)/Datos!BF17," - ")</f>
        <v>-0.23946867780948491</v>
      </c>
      <c r="K17" s="350">
        <f>IF(ISNUMBER((Tasas!E17-Datos!BG17)/Datos!BG17),(Tasas!E17-Datos!BG17)/Datos!BG17," - ")</f>
        <v>0.24408806298167784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-0.88888888888888884</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v>
      </c>
      <c r="J18" s="348" t="str">
        <f>IF(ISNUMBER((Tasas!D18-Datos!BF18)/Datos!BF18),(Tasas!D18-Datos!BF18)/Datos!BF18," - ")</f>
        <v xml:space="preserve"> - </v>
      </c>
      <c r="K18" s="350">
        <f>IF(ISNUMBER((Tasas!E18-Datos!BG18)/Datos!BG18),(Tasas!E18-Datos!BG18)/Datos!BG18," - ")</f>
        <v>-0.30769230769230765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0.70451612903225802</v>
      </c>
      <c r="E19" s="353">
        <f>IF(ISNUMBER(
   IF(D_I="SI",(Datos!J19-Datos!T19)/Datos!T19,(Datos!J19+Datos!AD19-(Datos!T19+Datos!AL19))/(Datos!T19+Datos!AL19))
     ),IF(D_I="SI",(Datos!J19-Datos!T19)/Datos!T19,(Datos!J19+Datos!AD19-(Datos!T19+Datos!AL19))/(Datos!T19+Datos!AL19))," - ")</f>
        <v>0.28856382978723405</v>
      </c>
      <c r="F19" s="353">
        <f>IF(ISNUMBER(
   IF(D_I="SI",(Datos!K19-Datos!U19)/Datos!U19,(Datos!K19+Datos!AE19-(Datos!U19+Datos!AM19))/(Datos!U19+Datos!AM19))
     ),IF(D_I="SI",(Datos!K19-Datos!U19)/Datos!U19,(Datos!K19+Datos!AE19-(Datos!U19+Datos!AM19))/(Datos!U19+Datos!AM19))," - ")</f>
        <v>0.20188425302826379</v>
      </c>
      <c r="G19" s="354">
        <f>IF(ISNUMBER(
   IF(D_I="SI",(Datos!L19-Datos!V19)/Datos!V19,(Datos!L19+Datos!AF19-(Datos!V19+Datos!AN19))/(Datos!V19+Datos!AN19))
     ),IF(D_I="SI",(Datos!L19-Datos!V19)/Datos!V19,(Datos!L19+Datos!AF19-(Datos!V19+Datos!AN19))/(Datos!V19+Datos!AN19))," - ")</f>
        <v>0.74843554443053817</v>
      </c>
      <c r="H19" s="355">
        <f>IF(ISNUMBER((Datos!M19-Datos!W19)/Datos!W19),(Datos!M19-Datos!W19)/Datos!W19," - ")</f>
        <v>-7.575757575757576E-2</v>
      </c>
      <c r="I19" s="356">
        <f>IF(ISNUMBER((Tasas!C19-Datos!BE19)/Datos!BE19),(Tasas!C19-Datos!BE19)/Datos!BE19," - ")</f>
        <v>0.45474536339517346</v>
      </c>
      <c r="J19" s="354">
        <f>IF(ISNUMBER((Tasas!D19-Datos!BF19)/Datos!BF19),(Tasas!D19-Datos!BF19)/Datos!BF19," - ")</f>
        <v>-0.23100546336828542</v>
      </c>
      <c r="K19" s="357">
        <f>IF(ISNUMBER((Tasas!E19-Datos!BG19)/Datos!BG19),(Tasas!E19-Datos!BG19)/Datos!BG19," - ")</f>
        <v>0.24776787514914447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0.12410128165051579</v>
      </c>
      <c r="E20" s="362">
        <f>IF(ISNUMBER(
   IF(J_V="SI",(Datos!J20-Datos!T20)/Datos!T20,(Datos!J20+Datos!Z20-(Datos!T20+Datos!AH20))/(Datos!T20+Datos!AH20))
     ),IF(J_V="SI",(Datos!J20-Datos!T20)/Datos!T20,(Datos!J20+Datos!Z20-(Datos!T20+Datos!AH20))/(Datos!T20+Datos!AH20))," - ")</f>
        <v>-0.24504442925495556</v>
      </c>
      <c r="F20" s="362">
        <f>IF(ISNUMBER(
   IF(J_V="SI",(Datos!K20-Datos!U20)/Datos!U20,(Datos!K20+Datos!AA20-(Datos!U20+Datos!AI20))/(Datos!U20+Datos!AI20))
     ),IF(J_V="SI",(Datos!K20-Datos!U20)/Datos!U20,(Datos!K20+Datos!AA20-(Datos!U20+Datos!AI20))/(Datos!U20+Datos!AI20))," - ")</f>
        <v>3.7162162162162164E-2</v>
      </c>
      <c r="G20" s="363">
        <f>IF(ISNUMBER(
   IF(J_V="SI",(Datos!L20-Datos!V20)/Datos!V20,(Datos!L20+Datos!AB20-(Datos!V20+Datos!AJ20))/(Datos!V20+Datos!AJ20))
     ),IF(J_V="SI",(Datos!L20-Datos!V20)/Datos!V20,(Datos!L20+Datos!AB20-(Datos!V20+Datos!AJ20))/(Datos!V20+Datos!AJ20))," - ")</f>
        <v>-0.10127826941986234</v>
      </c>
      <c r="H20" s="364">
        <f>IF(ISNUMBER((Datos!M20-Datos!W20)/Datos!W20),(Datos!M20-Datos!W20)/Datos!W20," - ")</f>
        <v>0.16814159292035399</v>
      </c>
      <c r="I20" s="361">
        <f>IF(ISNUMBER((Tasas!C20-Datos!BE20)/Datos!BE20),(Tasas!C20-Datos!BE20)/Datos!BE20," - ")</f>
        <v>-0.13348002523869468</v>
      </c>
      <c r="J20" s="362">
        <f>IF(ISNUMBER((Tasas!D20-Datos!BF20)/Datos!BF20),(Tasas!D20-Datos!BF20)/Datos!BF20," - ")</f>
        <v>-0.27481277318410868</v>
      </c>
      <c r="K20" s="363">
        <f>IF(ISNUMBER((Tasas!E20-Datos!BG20)/Datos!BG20),(Tasas!E20-Datos!BG20)/Datos!BG20," - ")</f>
        <v>-8.6203549823838307E-2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0.91362312190487627</v>
      </c>
      <c r="E22" s="277">
        <f t="shared" si="1"/>
        <v>0.74544703255059086</v>
      </c>
      <c r="F22" s="277">
        <f t="shared" si="1"/>
        <v>0.66726011241990169</v>
      </c>
      <c r="G22" s="278">
        <f t="shared" si="1"/>
        <v>0.92583682050204297</v>
      </c>
      <c r="H22" s="284">
        <f t="shared" si="1"/>
        <v>0.52440064865591973</v>
      </c>
      <c r="I22" s="276">
        <f t="shared" si="1"/>
        <v>0.60617909616507426</v>
      </c>
      <c r="J22" s="277">
        <f t="shared" si="1"/>
        <v>6.4196363530522266E-3</v>
      </c>
      <c r="K22" s="278">
        <f t="shared" si="1"/>
        <v>0.26525987717558086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MWLL3zelVIEADo2oIFfsoTSGTvMUMA33WosU1KEvm6hrkLuuJYNqWTCtNmkub81FzntfBuIwWErvLen56rjg==" saltValue="N7pw04fuSH5yq/hMgF9v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